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mikolaj/Downloads/"/>
    </mc:Choice>
  </mc:AlternateContent>
  <xr:revisionPtr revIDLastSave="0" documentId="13_ncr:1_{C2DB85C4-792C-DE4C-857E-129E5DA3AC9F}" xr6:coauthVersionLast="47" xr6:coauthVersionMax="47" xr10:uidLastSave="{00000000-0000-0000-0000-000000000000}"/>
  <bookViews>
    <workbookView xWindow="0" yWindow="500" windowWidth="25600" windowHeight="13620" xr2:uid="{00000000-000D-0000-FFFF-FFFF00000000}"/>
  </bookViews>
  <sheets>
    <sheet name="Datasheet" sheetId="3" r:id="rId1"/>
    <sheet name="Infografika" sheetId="4" state="hidden" r:id="rId2"/>
    <sheet name="Country Names" sheetId="5" state="hidden" r:id="rId3"/>
    <sheet name="Kursy walut" sheetId="6" state="hidden" r:id="rId4"/>
    <sheet name="AW2022_09" sheetId="7" state="hidden" r:id="rId5"/>
    <sheet name="Netflix" sheetId="8" state="hidden" r:id="rId6"/>
    <sheet name="Copy of Netflix" sheetId="9" state="hidden" r:id="rId7"/>
    <sheet name="Netflix_test" sheetId="10" state="hidden" r:id="rId8"/>
    <sheet name="Disney+" sheetId="11" state="hidden" r:id="rId9"/>
    <sheet name="HBO Max" sheetId="12" state="hidden" r:id="rId10"/>
    <sheet name="Spotify" sheetId="13" state="hidden" r:id="rId11"/>
    <sheet name="Apple Music" sheetId="14" state="hidden" r:id="rId12"/>
    <sheet name="Amazon Prime" sheetId="15" state="hidden" r:id="rId13"/>
    <sheet name="Scribd" sheetId="16" state="hidden" r:id="rId14"/>
    <sheet name="Xbox Game Pass" sheetId="17" state="hidden" r:id="rId15"/>
    <sheet name="YouTube Premium" sheetId="18" state="hidden" r:id="rId16"/>
    <sheet name="Gym" sheetId="19" state="hidden" r:id="rId17"/>
    <sheet name="Liczba subskrypcji" sheetId="20" state="hidden" r:id="rId18"/>
    <sheet name="Języki" sheetId="21" state="hidden" r:id="rId19"/>
  </sheets>
  <definedNames>
    <definedName name="_xlnm._FilterDatabase" localSheetId="12" hidden="1">'Amazon Prime'!$A$1:$O$118</definedName>
    <definedName name="_xlnm._FilterDatabase" localSheetId="11" hidden="1">'Apple Music'!$A$1:$O$118</definedName>
    <definedName name="_xlnm._FilterDatabase" localSheetId="6" hidden="1">'Copy of Netflix'!$A$1:$O$116</definedName>
    <definedName name="_xlnm._FilterDatabase" localSheetId="0" hidden="1">Datasheet!$A$2:$Y$62</definedName>
    <definedName name="_xlnm._FilterDatabase" localSheetId="8" hidden="1">'Disney+'!$A$1:$N$118</definedName>
    <definedName name="_xlnm._FilterDatabase" localSheetId="16" hidden="1">Gym!$A$1:$N$118</definedName>
    <definedName name="_xlnm._FilterDatabase" localSheetId="9" hidden="1">'HBO Max'!$A$1:$O$118</definedName>
    <definedName name="_xlnm._FilterDatabase" localSheetId="5" hidden="1">Netflix!$A$1:$Q$118</definedName>
    <definedName name="_xlnm._FilterDatabase" localSheetId="10" hidden="1">Spotify!$A$1:$P$112</definedName>
    <definedName name="_xlnm._FilterDatabase" localSheetId="15" hidden="1">'YouTube Premium'!$A$1:$AB$1001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A28" i="21"/>
  <c r="B27" i="21"/>
  <c r="A27" i="21"/>
  <c r="B26" i="21"/>
  <c r="A26" i="21"/>
  <c r="B25" i="21"/>
  <c r="A25" i="21"/>
  <c r="B24" i="21"/>
  <c r="A24" i="21"/>
  <c r="B23" i="21"/>
  <c r="A23" i="21"/>
  <c r="B22" i="21"/>
  <c r="A22" i="21"/>
  <c r="B21" i="21"/>
  <c r="A21" i="21"/>
  <c r="B20" i="21"/>
  <c r="A20" i="21"/>
  <c r="B19" i="21"/>
  <c r="A19" i="21"/>
  <c r="B18" i="21"/>
  <c r="A18" i="21"/>
  <c r="B17" i="21"/>
  <c r="A17" i="21"/>
  <c r="B16" i="21"/>
  <c r="A16" i="21"/>
  <c r="B15" i="21"/>
  <c r="A15" i="21"/>
  <c r="B14" i="21"/>
  <c r="A14" i="21"/>
  <c r="B13" i="21"/>
  <c r="A13" i="21"/>
  <c r="B12" i="21"/>
  <c r="A12" i="21"/>
  <c r="B11" i="21"/>
  <c r="A11" i="21"/>
  <c r="B10" i="21"/>
  <c r="A10" i="21"/>
  <c r="B9" i="21"/>
  <c r="A9" i="21"/>
  <c r="B8" i="21"/>
  <c r="A8" i="21"/>
  <c r="B7" i="21"/>
  <c r="A7" i="21"/>
  <c r="B6" i="21"/>
  <c r="A6" i="21"/>
  <c r="B5" i="21"/>
  <c r="A5" i="21"/>
  <c r="B4" i="21"/>
  <c r="A4" i="21"/>
  <c r="B3" i="21"/>
  <c r="A3" i="21"/>
  <c r="B2" i="21"/>
  <c r="A2" i="21"/>
  <c r="B1" i="21"/>
  <c r="A1" i="21"/>
  <c r="M118" i="19"/>
  <c r="K118" i="19"/>
  <c r="I118" i="19"/>
  <c r="M117" i="19"/>
  <c r="K117" i="19"/>
  <c r="I117" i="19"/>
  <c r="M116" i="19"/>
  <c r="K116" i="19"/>
  <c r="I116" i="19"/>
  <c r="M115" i="19"/>
  <c r="K115" i="19"/>
  <c r="I115" i="19"/>
  <c r="M114" i="19"/>
  <c r="K114" i="19"/>
  <c r="I114" i="19"/>
  <c r="M113" i="19"/>
  <c r="K113" i="19"/>
  <c r="I113" i="19"/>
  <c r="M112" i="19"/>
  <c r="K112" i="19"/>
  <c r="I112" i="19"/>
  <c r="M111" i="19"/>
  <c r="K111" i="19"/>
  <c r="I111" i="19"/>
  <c r="M110" i="19"/>
  <c r="K110" i="19"/>
  <c r="I110" i="19"/>
  <c r="M109" i="19"/>
  <c r="K109" i="19"/>
  <c r="I109" i="19"/>
  <c r="M108" i="19"/>
  <c r="K108" i="19"/>
  <c r="I108" i="19"/>
  <c r="M107" i="19"/>
  <c r="K107" i="19"/>
  <c r="I107" i="19"/>
  <c r="M106" i="19"/>
  <c r="K106" i="19"/>
  <c r="I106" i="19"/>
  <c r="M105" i="19"/>
  <c r="K105" i="19"/>
  <c r="I105" i="19"/>
  <c r="M104" i="19"/>
  <c r="K104" i="19"/>
  <c r="I104" i="19"/>
  <c r="M103" i="19"/>
  <c r="K103" i="19"/>
  <c r="I103" i="19"/>
  <c r="M102" i="19"/>
  <c r="K102" i="19"/>
  <c r="I102" i="19"/>
  <c r="M101" i="19"/>
  <c r="K101" i="19"/>
  <c r="I101" i="19"/>
  <c r="M100" i="19"/>
  <c r="K100" i="19"/>
  <c r="I100" i="19"/>
  <c r="M99" i="19"/>
  <c r="K99" i="19"/>
  <c r="I99" i="19"/>
  <c r="M98" i="19"/>
  <c r="K98" i="19"/>
  <c r="I98" i="19"/>
  <c r="M97" i="19"/>
  <c r="K97" i="19"/>
  <c r="I97" i="19"/>
  <c r="M96" i="19"/>
  <c r="K96" i="19"/>
  <c r="I96" i="19"/>
  <c r="M95" i="19"/>
  <c r="K95" i="19"/>
  <c r="I95" i="19"/>
  <c r="M94" i="19"/>
  <c r="K94" i="19"/>
  <c r="I94" i="19"/>
  <c r="M93" i="19"/>
  <c r="K93" i="19"/>
  <c r="I93" i="19"/>
  <c r="M92" i="19"/>
  <c r="K92" i="19"/>
  <c r="I92" i="19"/>
  <c r="M91" i="19"/>
  <c r="K91" i="19"/>
  <c r="I91" i="19"/>
  <c r="M90" i="19"/>
  <c r="K90" i="19"/>
  <c r="I90" i="19"/>
  <c r="M89" i="19"/>
  <c r="K89" i="19"/>
  <c r="I89" i="19"/>
  <c r="M88" i="19"/>
  <c r="K88" i="19"/>
  <c r="I88" i="19"/>
  <c r="M87" i="19"/>
  <c r="K87" i="19"/>
  <c r="I87" i="19"/>
  <c r="M86" i="19"/>
  <c r="K86" i="19"/>
  <c r="I86" i="19"/>
  <c r="M85" i="19"/>
  <c r="K85" i="19"/>
  <c r="I85" i="19"/>
  <c r="M84" i="19"/>
  <c r="K84" i="19"/>
  <c r="I84" i="19"/>
  <c r="M83" i="19"/>
  <c r="K83" i="19"/>
  <c r="I83" i="19"/>
  <c r="M82" i="19"/>
  <c r="K82" i="19"/>
  <c r="I82" i="19"/>
  <c r="M81" i="19"/>
  <c r="K81" i="19"/>
  <c r="I81" i="19"/>
  <c r="M80" i="19"/>
  <c r="K80" i="19"/>
  <c r="I80" i="19"/>
  <c r="M79" i="19"/>
  <c r="K79" i="19"/>
  <c r="I79" i="19"/>
  <c r="M78" i="19"/>
  <c r="K78" i="19"/>
  <c r="I78" i="19"/>
  <c r="M77" i="19"/>
  <c r="K77" i="19"/>
  <c r="I77" i="19"/>
  <c r="M76" i="19"/>
  <c r="K76" i="19"/>
  <c r="I76" i="19"/>
  <c r="M75" i="19"/>
  <c r="K75" i="19"/>
  <c r="I75" i="19"/>
  <c r="M74" i="19"/>
  <c r="K74" i="19"/>
  <c r="I74" i="19"/>
  <c r="M73" i="19"/>
  <c r="K73" i="19"/>
  <c r="I73" i="19"/>
  <c r="M72" i="19"/>
  <c r="K72" i="19"/>
  <c r="I72" i="19"/>
  <c r="M71" i="19"/>
  <c r="K71" i="19"/>
  <c r="I71" i="19"/>
  <c r="M70" i="19"/>
  <c r="K70" i="19"/>
  <c r="I70" i="19"/>
  <c r="M69" i="19"/>
  <c r="K69" i="19"/>
  <c r="I69" i="19"/>
  <c r="M68" i="19"/>
  <c r="K68" i="19"/>
  <c r="I68" i="19"/>
  <c r="M67" i="19"/>
  <c r="K67" i="19"/>
  <c r="I67" i="19"/>
  <c r="M66" i="19"/>
  <c r="K66" i="19"/>
  <c r="I66" i="19"/>
  <c r="M65" i="19"/>
  <c r="K65" i="19"/>
  <c r="I65" i="19"/>
  <c r="M64" i="19"/>
  <c r="K64" i="19"/>
  <c r="I64" i="19"/>
  <c r="M63" i="19"/>
  <c r="K63" i="19"/>
  <c r="I63" i="19"/>
  <c r="M62" i="19"/>
  <c r="K62" i="19"/>
  <c r="I62" i="19"/>
  <c r="M61" i="19"/>
  <c r="K61" i="19"/>
  <c r="I61" i="19"/>
  <c r="M60" i="19"/>
  <c r="K60" i="19"/>
  <c r="I60" i="19"/>
  <c r="M59" i="19"/>
  <c r="K59" i="19"/>
  <c r="I59" i="19"/>
  <c r="M58" i="19"/>
  <c r="K58" i="19"/>
  <c r="I58" i="19"/>
  <c r="M57" i="19"/>
  <c r="K57" i="19"/>
  <c r="I57" i="19"/>
  <c r="M56" i="19"/>
  <c r="K56" i="19"/>
  <c r="I56" i="19"/>
  <c r="M55" i="19"/>
  <c r="K55" i="19"/>
  <c r="I55" i="19"/>
  <c r="M54" i="19"/>
  <c r="K54" i="19"/>
  <c r="I54" i="19"/>
  <c r="M53" i="19"/>
  <c r="K53" i="19"/>
  <c r="I53" i="19"/>
  <c r="M52" i="19"/>
  <c r="K52" i="19"/>
  <c r="I52" i="19"/>
  <c r="M51" i="19"/>
  <c r="K51" i="19"/>
  <c r="I51" i="19"/>
  <c r="M50" i="19"/>
  <c r="K50" i="19"/>
  <c r="I50" i="19"/>
  <c r="M49" i="19"/>
  <c r="K49" i="19"/>
  <c r="I49" i="19"/>
  <c r="M48" i="19"/>
  <c r="K48" i="19"/>
  <c r="I48" i="19"/>
  <c r="M47" i="19"/>
  <c r="K47" i="19"/>
  <c r="I47" i="19"/>
  <c r="M46" i="19"/>
  <c r="K46" i="19"/>
  <c r="I46" i="19"/>
  <c r="M45" i="19"/>
  <c r="K45" i="19"/>
  <c r="I45" i="19"/>
  <c r="M44" i="19"/>
  <c r="K44" i="19"/>
  <c r="I44" i="19"/>
  <c r="M43" i="19"/>
  <c r="K43" i="19"/>
  <c r="I43" i="19"/>
  <c r="M42" i="19"/>
  <c r="K42" i="19"/>
  <c r="I42" i="19"/>
  <c r="M41" i="19"/>
  <c r="K41" i="19"/>
  <c r="I41" i="19"/>
  <c r="M40" i="19"/>
  <c r="K40" i="19"/>
  <c r="I40" i="19"/>
  <c r="M39" i="19"/>
  <c r="K39" i="19"/>
  <c r="I39" i="19"/>
  <c r="M38" i="19"/>
  <c r="K38" i="19"/>
  <c r="I38" i="19"/>
  <c r="M37" i="19"/>
  <c r="K37" i="19"/>
  <c r="I37" i="19"/>
  <c r="M36" i="19"/>
  <c r="K36" i="19"/>
  <c r="I36" i="19"/>
  <c r="M35" i="19"/>
  <c r="K35" i="19"/>
  <c r="I35" i="19"/>
  <c r="M34" i="19"/>
  <c r="K34" i="19"/>
  <c r="I34" i="19"/>
  <c r="M33" i="19"/>
  <c r="K33" i="19"/>
  <c r="I33" i="19"/>
  <c r="M32" i="19"/>
  <c r="K32" i="19"/>
  <c r="I32" i="19"/>
  <c r="M31" i="19"/>
  <c r="K31" i="19"/>
  <c r="I31" i="19"/>
  <c r="M30" i="19"/>
  <c r="K30" i="19"/>
  <c r="I30" i="19"/>
  <c r="M29" i="19"/>
  <c r="K29" i="19"/>
  <c r="I29" i="19"/>
  <c r="M28" i="19"/>
  <c r="K28" i="19"/>
  <c r="I28" i="19"/>
  <c r="M27" i="19"/>
  <c r="K27" i="19"/>
  <c r="I27" i="19"/>
  <c r="M26" i="19"/>
  <c r="K26" i="19"/>
  <c r="I26" i="19"/>
  <c r="M25" i="19"/>
  <c r="K25" i="19"/>
  <c r="I25" i="19"/>
  <c r="M23" i="19"/>
  <c r="K23" i="19"/>
  <c r="I23" i="19"/>
  <c r="M22" i="19"/>
  <c r="K22" i="19"/>
  <c r="I22" i="19"/>
  <c r="M21" i="19"/>
  <c r="K21" i="19"/>
  <c r="I21" i="19"/>
  <c r="M20" i="19"/>
  <c r="K20" i="19"/>
  <c r="I20" i="19"/>
  <c r="M19" i="19"/>
  <c r="K19" i="19"/>
  <c r="I19" i="19"/>
  <c r="M18" i="19"/>
  <c r="K18" i="19"/>
  <c r="I18" i="19"/>
  <c r="M17" i="19"/>
  <c r="K17" i="19"/>
  <c r="I17" i="19"/>
  <c r="M16" i="19"/>
  <c r="K16" i="19"/>
  <c r="I16" i="19"/>
  <c r="M15" i="19"/>
  <c r="K15" i="19"/>
  <c r="I15" i="19"/>
  <c r="M14" i="19"/>
  <c r="K14" i="19"/>
  <c r="I14" i="19"/>
  <c r="M13" i="19"/>
  <c r="K13" i="19"/>
  <c r="I13" i="19"/>
  <c r="M12" i="19"/>
  <c r="K12" i="19"/>
  <c r="I12" i="19"/>
  <c r="M11" i="19"/>
  <c r="K11" i="19"/>
  <c r="I11" i="19"/>
  <c r="M10" i="19"/>
  <c r="K10" i="19"/>
  <c r="I10" i="19"/>
  <c r="M9" i="19"/>
  <c r="K9" i="19"/>
  <c r="I9" i="19"/>
  <c r="M8" i="19"/>
  <c r="K8" i="19"/>
  <c r="I8" i="19"/>
  <c r="M7" i="19"/>
  <c r="K7" i="19"/>
  <c r="I7" i="19"/>
  <c r="M6" i="19"/>
  <c r="K6" i="19"/>
  <c r="I6" i="19"/>
  <c r="M5" i="19"/>
  <c r="K5" i="19"/>
  <c r="I5" i="19"/>
  <c r="M4" i="19"/>
  <c r="K4" i="19"/>
  <c r="I4" i="19"/>
  <c r="M3" i="19"/>
  <c r="K3" i="19"/>
  <c r="I3" i="19"/>
  <c r="M2" i="19"/>
  <c r="K2" i="19"/>
  <c r="I2" i="19"/>
  <c r="O118" i="18"/>
  <c r="M118" i="18"/>
  <c r="K118" i="18"/>
  <c r="O117" i="18"/>
  <c r="M117" i="18"/>
  <c r="K117" i="18"/>
  <c r="O116" i="18"/>
  <c r="M116" i="18"/>
  <c r="K116" i="18"/>
  <c r="O115" i="18"/>
  <c r="M115" i="18"/>
  <c r="K115" i="18"/>
  <c r="O114" i="18"/>
  <c r="M114" i="18"/>
  <c r="K114" i="18"/>
  <c r="O113" i="18"/>
  <c r="M113" i="18"/>
  <c r="K113" i="18"/>
  <c r="O112" i="18"/>
  <c r="M112" i="18"/>
  <c r="K112" i="18"/>
  <c r="O111" i="18"/>
  <c r="M111" i="18"/>
  <c r="K111" i="18"/>
  <c r="O110" i="18"/>
  <c r="M110" i="18"/>
  <c r="K110" i="18"/>
  <c r="O109" i="18"/>
  <c r="M109" i="18"/>
  <c r="K109" i="18"/>
  <c r="O108" i="18"/>
  <c r="M108" i="18"/>
  <c r="K108" i="18"/>
  <c r="O107" i="18"/>
  <c r="M107" i="18"/>
  <c r="K107" i="18"/>
  <c r="O106" i="18"/>
  <c r="M106" i="18"/>
  <c r="K106" i="18"/>
  <c r="O105" i="18"/>
  <c r="M105" i="18"/>
  <c r="K105" i="18"/>
  <c r="O104" i="18"/>
  <c r="M104" i="18"/>
  <c r="K104" i="18"/>
  <c r="O103" i="18"/>
  <c r="M103" i="18"/>
  <c r="K103" i="18"/>
  <c r="O102" i="18"/>
  <c r="M102" i="18"/>
  <c r="K102" i="18"/>
  <c r="O101" i="18"/>
  <c r="M101" i="18"/>
  <c r="K101" i="18"/>
  <c r="O100" i="18"/>
  <c r="M100" i="18"/>
  <c r="K100" i="18"/>
  <c r="O99" i="18"/>
  <c r="M99" i="18"/>
  <c r="K99" i="18"/>
  <c r="O98" i="18"/>
  <c r="M98" i="18"/>
  <c r="K98" i="18"/>
  <c r="O97" i="18"/>
  <c r="M97" i="18"/>
  <c r="K97" i="18"/>
  <c r="O96" i="18"/>
  <c r="M96" i="18"/>
  <c r="K96" i="18"/>
  <c r="O95" i="18"/>
  <c r="M95" i="18"/>
  <c r="K95" i="18"/>
  <c r="O94" i="18"/>
  <c r="M94" i="18"/>
  <c r="K94" i="18"/>
  <c r="O93" i="18"/>
  <c r="M93" i="18"/>
  <c r="K93" i="18"/>
  <c r="O92" i="18"/>
  <c r="M92" i="18"/>
  <c r="K92" i="18"/>
  <c r="O91" i="18"/>
  <c r="M91" i="18"/>
  <c r="K91" i="18"/>
  <c r="O90" i="18"/>
  <c r="M90" i="18"/>
  <c r="K90" i="18"/>
  <c r="O89" i="18"/>
  <c r="M89" i="18"/>
  <c r="K89" i="18"/>
  <c r="O88" i="18"/>
  <c r="M88" i="18"/>
  <c r="K88" i="18"/>
  <c r="O87" i="18"/>
  <c r="M87" i="18"/>
  <c r="K87" i="18"/>
  <c r="O86" i="18"/>
  <c r="M86" i="18"/>
  <c r="K86" i="18"/>
  <c r="O85" i="18"/>
  <c r="M85" i="18"/>
  <c r="K85" i="18"/>
  <c r="O84" i="18"/>
  <c r="M84" i="18"/>
  <c r="K84" i="18"/>
  <c r="O83" i="18"/>
  <c r="M83" i="18"/>
  <c r="K83" i="18"/>
  <c r="O82" i="18"/>
  <c r="M82" i="18"/>
  <c r="K82" i="18"/>
  <c r="O81" i="18"/>
  <c r="M81" i="18"/>
  <c r="K81" i="18"/>
  <c r="O80" i="18"/>
  <c r="M80" i="18"/>
  <c r="K80" i="18"/>
  <c r="O79" i="18"/>
  <c r="M79" i="18"/>
  <c r="K79" i="18"/>
  <c r="O78" i="18"/>
  <c r="M78" i="18"/>
  <c r="K78" i="18"/>
  <c r="O77" i="18"/>
  <c r="M77" i="18"/>
  <c r="K77" i="18"/>
  <c r="O76" i="18"/>
  <c r="M76" i="18"/>
  <c r="K76" i="18"/>
  <c r="O75" i="18"/>
  <c r="M75" i="18"/>
  <c r="K75" i="18"/>
  <c r="O74" i="18"/>
  <c r="M74" i="18"/>
  <c r="K74" i="18"/>
  <c r="O73" i="18"/>
  <c r="M73" i="18"/>
  <c r="K73" i="18"/>
  <c r="O72" i="18"/>
  <c r="M72" i="18"/>
  <c r="K72" i="18"/>
  <c r="O71" i="18"/>
  <c r="M71" i="18"/>
  <c r="K71" i="18"/>
  <c r="O70" i="18"/>
  <c r="M70" i="18"/>
  <c r="K70" i="18"/>
  <c r="O69" i="18"/>
  <c r="M69" i="18"/>
  <c r="K69" i="18"/>
  <c r="O68" i="18"/>
  <c r="M68" i="18"/>
  <c r="K68" i="18"/>
  <c r="O67" i="18"/>
  <c r="M67" i="18"/>
  <c r="K67" i="18"/>
  <c r="O66" i="18"/>
  <c r="M66" i="18"/>
  <c r="K66" i="18"/>
  <c r="O65" i="18"/>
  <c r="M65" i="18"/>
  <c r="K65" i="18"/>
  <c r="O64" i="18"/>
  <c r="M64" i="18"/>
  <c r="K64" i="18"/>
  <c r="O63" i="18"/>
  <c r="M63" i="18"/>
  <c r="K63" i="18"/>
  <c r="O62" i="18"/>
  <c r="M62" i="18"/>
  <c r="K62" i="18"/>
  <c r="O61" i="18"/>
  <c r="M61" i="18"/>
  <c r="K61" i="18"/>
  <c r="O60" i="18"/>
  <c r="M60" i="18"/>
  <c r="K60" i="18"/>
  <c r="O59" i="18"/>
  <c r="M59" i="18"/>
  <c r="K59" i="18"/>
  <c r="O58" i="18"/>
  <c r="M58" i="18"/>
  <c r="K58" i="18"/>
  <c r="O57" i="18"/>
  <c r="M57" i="18"/>
  <c r="K57" i="18"/>
  <c r="O56" i="18"/>
  <c r="M56" i="18"/>
  <c r="K56" i="18"/>
  <c r="O55" i="18"/>
  <c r="M55" i="18"/>
  <c r="K55" i="18"/>
  <c r="O54" i="18"/>
  <c r="M54" i="18"/>
  <c r="K54" i="18"/>
  <c r="O53" i="18"/>
  <c r="M53" i="18"/>
  <c r="K53" i="18"/>
  <c r="O52" i="18"/>
  <c r="M52" i="18"/>
  <c r="K52" i="18"/>
  <c r="O51" i="18"/>
  <c r="M51" i="18"/>
  <c r="K51" i="18"/>
  <c r="O50" i="18"/>
  <c r="M50" i="18"/>
  <c r="K50" i="18"/>
  <c r="O49" i="18"/>
  <c r="M49" i="18"/>
  <c r="K49" i="18"/>
  <c r="O48" i="18"/>
  <c r="M48" i="18"/>
  <c r="K48" i="18"/>
  <c r="O47" i="18"/>
  <c r="M47" i="18"/>
  <c r="K47" i="18"/>
  <c r="O46" i="18"/>
  <c r="M46" i="18"/>
  <c r="K46" i="18"/>
  <c r="O45" i="18"/>
  <c r="M45" i="18"/>
  <c r="K45" i="18"/>
  <c r="O44" i="18"/>
  <c r="M44" i="18"/>
  <c r="K44" i="18"/>
  <c r="O43" i="18"/>
  <c r="M43" i="18"/>
  <c r="K43" i="18"/>
  <c r="O42" i="18"/>
  <c r="M42" i="18"/>
  <c r="K42" i="18"/>
  <c r="O41" i="18"/>
  <c r="M41" i="18"/>
  <c r="K41" i="18"/>
  <c r="O40" i="18"/>
  <c r="M40" i="18"/>
  <c r="K40" i="18"/>
  <c r="O39" i="18"/>
  <c r="M39" i="18"/>
  <c r="K39" i="18"/>
  <c r="O38" i="18"/>
  <c r="M38" i="18"/>
  <c r="K38" i="18"/>
  <c r="O37" i="18"/>
  <c r="M37" i="18"/>
  <c r="K37" i="18"/>
  <c r="O36" i="18"/>
  <c r="M36" i="18"/>
  <c r="K36" i="18"/>
  <c r="O35" i="18"/>
  <c r="M35" i="18"/>
  <c r="K35" i="18"/>
  <c r="O34" i="18"/>
  <c r="M34" i="18"/>
  <c r="K34" i="18"/>
  <c r="O33" i="18"/>
  <c r="M33" i="18"/>
  <c r="K33" i="18"/>
  <c r="O32" i="18"/>
  <c r="M32" i="18"/>
  <c r="K32" i="18"/>
  <c r="O31" i="18"/>
  <c r="M31" i="18"/>
  <c r="K31" i="18"/>
  <c r="O30" i="18"/>
  <c r="M30" i="18"/>
  <c r="K30" i="18"/>
  <c r="O29" i="18"/>
  <c r="M29" i="18"/>
  <c r="K29" i="18"/>
  <c r="O28" i="18"/>
  <c r="M28" i="18"/>
  <c r="K28" i="18"/>
  <c r="O27" i="18"/>
  <c r="M27" i="18"/>
  <c r="K27" i="18"/>
  <c r="O26" i="18"/>
  <c r="M26" i="18"/>
  <c r="K26" i="18"/>
  <c r="O25" i="18"/>
  <c r="M25" i="18"/>
  <c r="K25" i="18"/>
  <c r="O24" i="18"/>
  <c r="M24" i="18"/>
  <c r="K24" i="18"/>
  <c r="O23" i="18"/>
  <c r="M23" i="18"/>
  <c r="K23" i="18"/>
  <c r="O22" i="18"/>
  <c r="M22" i="18"/>
  <c r="K22" i="18"/>
  <c r="O21" i="18"/>
  <c r="M21" i="18"/>
  <c r="K21" i="18"/>
  <c r="O20" i="18"/>
  <c r="M20" i="18"/>
  <c r="K20" i="18"/>
  <c r="O19" i="18"/>
  <c r="M19" i="18"/>
  <c r="K19" i="18"/>
  <c r="O18" i="18"/>
  <c r="M18" i="18"/>
  <c r="K18" i="18"/>
  <c r="O17" i="18"/>
  <c r="M17" i="18"/>
  <c r="K17" i="18"/>
  <c r="O16" i="18"/>
  <c r="M16" i="18"/>
  <c r="K16" i="18"/>
  <c r="O15" i="18"/>
  <c r="M15" i="18"/>
  <c r="K15" i="18"/>
  <c r="O14" i="18"/>
  <c r="M14" i="18"/>
  <c r="K14" i="18"/>
  <c r="O13" i="18"/>
  <c r="M13" i="18"/>
  <c r="K13" i="18"/>
  <c r="O12" i="18"/>
  <c r="M12" i="18"/>
  <c r="K12" i="18"/>
  <c r="O11" i="18"/>
  <c r="M11" i="18"/>
  <c r="K11" i="18"/>
  <c r="O10" i="18"/>
  <c r="M10" i="18"/>
  <c r="K10" i="18"/>
  <c r="O9" i="18"/>
  <c r="M9" i="18"/>
  <c r="K9" i="18"/>
  <c r="O8" i="18"/>
  <c r="M8" i="18"/>
  <c r="K8" i="18"/>
  <c r="O7" i="18"/>
  <c r="M7" i="18"/>
  <c r="K7" i="18"/>
  <c r="O6" i="18"/>
  <c r="M6" i="18"/>
  <c r="K6" i="18"/>
  <c r="O5" i="18"/>
  <c r="M5" i="18"/>
  <c r="K5" i="18"/>
  <c r="O4" i="18"/>
  <c r="M4" i="18"/>
  <c r="K4" i="18"/>
  <c r="O3" i="18"/>
  <c r="M3" i="18"/>
  <c r="K3" i="18"/>
  <c r="O2" i="18"/>
  <c r="M2" i="18"/>
  <c r="K2" i="18"/>
  <c r="M63" i="17"/>
  <c r="K63" i="17"/>
  <c r="J63" i="17"/>
  <c r="I63" i="17"/>
  <c r="E63" i="17"/>
  <c r="M62" i="17"/>
  <c r="K62" i="17"/>
  <c r="J62" i="17"/>
  <c r="I62" i="17"/>
  <c r="E62" i="17"/>
  <c r="M61" i="17"/>
  <c r="K61" i="17"/>
  <c r="J61" i="17"/>
  <c r="I61" i="17" s="1"/>
  <c r="E61" i="17"/>
  <c r="M60" i="17"/>
  <c r="K60" i="17"/>
  <c r="J60" i="17"/>
  <c r="I60" i="17"/>
  <c r="E60" i="17"/>
  <c r="M59" i="17"/>
  <c r="K59" i="17"/>
  <c r="J59" i="17"/>
  <c r="I59" i="17" s="1"/>
  <c r="E59" i="17"/>
  <c r="M58" i="17"/>
  <c r="K58" i="17"/>
  <c r="J58" i="17"/>
  <c r="I58" i="17" s="1"/>
  <c r="E58" i="17"/>
  <c r="M57" i="17"/>
  <c r="K57" i="17"/>
  <c r="J57" i="17"/>
  <c r="I57" i="17" s="1"/>
  <c r="E57" i="17"/>
  <c r="M56" i="17"/>
  <c r="K56" i="17"/>
  <c r="J56" i="17"/>
  <c r="I56" i="17"/>
  <c r="E56" i="17"/>
  <c r="M55" i="17"/>
  <c r="K55" i="17"/>
  <c r="J55" i="17"/>
  <c r="I55" i="17" s="1"/>
  <c r="E55" i="17"/>
  <c r="M54" i="17"/>
  <c r="K54" i="17"/>
  <c r="J54" i="17"/>
  <c r="I54" i="17" s="1"/>
  <c r="E54" i="17"/>
  <c r="M53" i="17"/>
  <c r="K53" i="17"/>
  <c r="J53" i="17"/>
  <c r="I53" i="17" s="1"/>
  <c r="E53" i="17"/>
  <c r="M52" i="17"/>
  <c r="K52" i="17"/>
  <c r="J52" i="17"/>
  <c r="I52" i="17"/>
  <c r="E52" i="17"/>
  <c r="M51" i="17"/>
  <c r="K51" i="17"/>
  <c r="J51" i="17"/>
  <c r="I51" i="17" s="1"/>
  <c r="E51" i="17"/>
  <c r="M50" i="17"/>
  <c r="K50" i="17"/>
  <c r="J50" i="17"/>
  <c r="I50" i="17" s="1"/>
  <c r="E50" i="17"/>
  <c r="M49" i="17"/>
  <c r="K49" i="17"/>
  <c r="J49" i="17"/>
  <c r="I49" i="17"/>
  <c r="E49" i="17"/>
  <c r="M48" i="17"/>
  <c r="K48" i="17"/>
  <c r="J48" i="17"/>
  <c r="I48" i="17"/>
  <c r="E48" i="17"/>
  <c r="M47" i="17"/>
  <c r="K47" i="17"/>
  <c r="J47" i="17"/>
  <c r="I47" i="17"/>
  <c r="E47" i="17"/>
  <c r="M46" i="17"/>
  <c r="K46" i="17"/>
  <c r="J46" i="17"/>
  <c r="I46" i="17"/>
  <c r="E46" i="17"/>
  <c r="M45" i="17"/>
  <c r="K45" i="17"/>
  <c r="J45" i="17"/>
  <c r="I45" i="17" s="1"/>
  <c r="E45" i="17"/>
  <c r="M44" i="17"/>
  <c r="K44" i="17"/>
  <c r="J44" i="17"/>
  <c r="I44" i="17"/>
  <c r="E44" i="17"/>
  <c r="M43" i="17"/>
  <c r="K43" i="17"/>
  <c r="J43" i="17"/>
  <c r="I43" i="17" s="1"/>
  <c r="E43" i="17"/>
  <c r="M42" i="17"/>
  <c r="K42" i="17"/>
  <c r="J42" i="17"/>
  <c r="I42" i="17"/>
  <c r="E42" i="17"/>
  <c r="M41" i="17"/>
  <c r="K41" i="17"/>
  <c r="J41" i="17"/>
  <c r="I41" i="17" s="1"/>
  <c r="E41" i="17"/>
  <c r="M40" i="17"/>
  <c r="K40" i="17"/>
  <c r="J40" i="17"/>
  <c r="I40" i="17"/>
  <c r="E40" i="17"/>
  <c r="M39" i="17"/>
  <c r="K39" i="17"/>
  <c r="J39" i="17"/>
  <c r="I39" i="17"/>
  <c r="E39" i="17"/>
  <c r="M38" i="17"/>
  <c r="K38" i="17"/>
  <c r="J38" i="17"/>
  <c r="I38" i="17" s="1"/>
  <c r="E38" i="17"/>
  <c r="M37" i="17"/>
  <c r="K37" i="17"/>
  <c r="J37" i="17"/>
  <c r="I37" i="17"/>
  <c r="E37" i="17"/>
  <c r="M36" i="17"/>
  <c r="K36" i="17"/>
  <c r="J36" i="17"/>
  <c r="I36" i="17"/>
  <c r="E36" i="17"/>
  <c r="M35" i="17"/>
  <c r="K35" i="17"/>
  <c r="J35" i="17"/>
  <c r="I35" i="17" s="1"/>
  <c r="E35" i="17"/>
  <c r="M34" i="17"/>
  <c r="K34" i="17"/>
  <c r="J34" i="17"/>
  <c r="I34" i="17"/>
  <c r="E34" i="17"/>
  <c r="M33" i="17"/>
  <c r="K33" i="17"/>
  <c r="J33" i="17"/>
  <c r="I33" i="17"/>
  <c r="E33" i="17"/>
  <c r="M32" i="17"/>
  <c r="K32" i="17"/>
  <c r="J32" i="17"/>
  <c r="I32" i="17"/>
  <c r="E32" i="17"/>
  <c r="M31" i="17"/>
  <c r="K31" i="17"/>
  <c r="J31" i="17"/>
  <c r="I31" i="17" s="1"/>
  <c r="E31" i="17"/>
  <c r="M30" i="17"/>
  <c r="K30" i="17"/>
  <c r="J30" i="17"/>
  <c r="I30" i="17"/>
  <c r="E30" i="17"/>
  <c r="M29" i="17"/>
  <c r="K29" i="17"/>
  <c r="J29" i="17"/>
  <c r="I29" i="17"/>
  <c r="E29" i="17"/>
  <c r="M28" i="17"/>
  <c r="K28" i="17"/>
  <c r="J28" i="17"/>
  <c r="I28" i="17"/>
  <c r="E28" i="17"/>
  <c r="M27" i="17"/>
  <c r="K27" i="17"/>
  <c r="J27" i="17"/>
  <c r="I27" i="17"/>
  <c r="E27" i="17"/>
  <c r="M26" i="17"/>
  <c r="K26" i="17"/>
  <c r="J26" i="17"/>
  <c r="I26" i="17"/>
  <c r="E26" i="17"/>
  <c r="M25" i="17"/>
  <c r="K25" i="17"/>
  <c r="J25" i="17"/>
  <c r="I25" i="17"/>
  <c r="E25" i="17"/>
  <c r="M24" i="17"/>
  <c r="K24" i="17"/>
  <c r="J24" i="17"/>
  <c r="I24" i="17"/>
  <c r="E24" i="17"/>
  <c r="M23" i="17"/>
  <c r="K23" i="17"/>
  <c r="J23" i="17"/>
  <c r="I23" i="17"/>
  <c r="E23" i="17"/>
  <c r="M22" i="17"/>
  <c r="K22" i="17"/>
  <c r="J22" i="17"/>
  <c r="I22" i="17"/>
  <c r="E22" i="17"/>
  <c r="M21" i="17"/>
  <c r="K21" i="17"/>
  <c r="J21" i="17"/>
  <c r="I21" i="17" s="1"/>
  <c r="E21" i="17"/>
  <c r="M20" i="17"/>
  <c r="K20" i="17"/>
  <c r="J20" i="17"/>
  <c r="I20" i="17"/>
  <c r="E20" i="17"/>
  <c r="M19" i="17"/>
  <c r="K19" i="17"/>
  <c r="J19" i="17"/>
  <c r="I19" i="17"/>
  <c r="E19" i="17"/>
  <c r="M18" i="17"/>
  <c r="K18" i="17"/>
  <c r="J18" i="17"/>
  <c r="I18" i="17"/>
  <c r="E18" i="17"/>
  <c r="M17" i="17"/>
  <c r="K17" i="17"/>
  <c r="J17" i="17"/>
  <c r="I17" i="17"/>
  <c r="E17" i="17"/>
  <c r="M16" i="17"/>
  <c r="K16" i="17"/>
  <c r="J16" i="17"/>
  <c r="I16" i="17" s="1"/>
  <c r="E16" i="17"/>
  <c r="M15" i="17"/>
  <c r="K15" i="17"/>
  <c r="J15" i="17"/>
  <c r="I15" i="17"/>
  <c r="E15" i="17"/>
  <c r="M14" i="17"/>
  <c r="K14" i="17"/>
  <c r="J14" i="17"/>
  <c r="I14" i="17"/>
  <c r="E14" i="17"/>
  <c r="M13" i="17"/>
  <c r="K13" i="17"/>
  <c r="J13" i="17"/>
  <c r="I13" i="17" s="1"/>
  <c r="E13" i="17"/>
  <c r="M12" i="17"/>
  <c r="K12" i="17"/>
  <c r="J12" i="17"/>
  <c r="I12" i="17"/>
  <c r="E12" i="17"/>
  <c r="M11" i="17"/>
  <c r="K11" i="17"/>
  <c r="J11" i="17"/>
  <c r="I11" i="17"/>
  <c r="E11" i="17"/>
  <c r="M10" i="17"/>
  <c r="K10" i="17"/>
  <c r="J10" i="17"/>
  <c r="I10" i="17"/>
  <c r="E10" i="17"/>
  <c r="M9" i="17"/>
  <c r="K9" i="17"/>
  <c r="J9" i="17"/>
  <c r="I9" i="17"/>
  <c r="E9" i="17"/>
  <c r="M8" i="17"/>
  <c r="K8" i="17"/>
  <c r="J8" i="17"/>
  <c r="I8" i="17"/>
  <c r="E8" i="17"/>
  <c r="M7" i="17"/>
  <c r="K7" i="17"/>
  <c r="J7" i="17"/>
  <c r="I7" i="17"/>
  <c r="E7" i="17"/>
  <c r="M6" i="17"/>
  <c r="K6" i="17"/>
  <c r="J6" i="17"/>
  <c r="I6" i="17"/>
  <c r="E6" i="17"/>
  <c r="M5" i="17"/>
  <c r="K5" i="17"/>
  <c r="J5" i="17"/>
  <c r="I5" i="17"/>
  <c r="E5" i="17"/>
  <c r="M4" i="17"/>
  <c r="K4" i="17"/>
  <c r="J4" i="17"/>
  <c r="I4" i="17"/>
  <c r="E4" i="17"/>
  <c r="M3" i="17"/>
  <c r="K3" i="17"/>
  <c r="J3" i="17"/>
  <c r="I3" i="17"/>
  <c r="E3" i="17"/>
  <c r="M2" i="17"/>
  <c r="K2" i="17"/>
  <c r="J2" i="17"/>
  <c r="I2" i="17"/>
  <c r="E2" i="17"/>
  <c r="M63" i="16"/>
  <c r="K63" i="16"/>
  <c r="J63" i="16"/>
  <c r="I63" i="16" s="1"/>
  <c r="E63" i="16"/>
  <c r="M62" i="16"/>
  <c r="K62" i="16"/>
  <c r="J62" i="16"/>
  <c r="I62" i="16"/>
  <c r="E62" i="16"/>
  <c r="M61" i="16"/>
  <c r="K61" i="16"/>
  <c r="J61" i="16"/>
  <c r="I61" i="16"/>
  <c r="E61" i="16"/>
  <c r="M60" i="16"/>
  <c r="K60" i="16"/>
  <c r="J60" i="16"/>
  <c r="I60" i="16"/>
  <c r="E60" i="16"/>
  <c r="M59" i="16"/>
  <c r="K59" i="16"/>
  <c r="J59" i="16"/>
  <c r="I59" i="16" s="1"/>
  <c r="E59" i="16"/>
  <c r="M58" i="16"/>
  <c r="K58" i="16"/>
  <c r="J58" i="16"/>
  <c r="I58" i="16" s="1"/>
  <c r="E58" i="16"/>
  <c r="M57" i="16"/>
  <c r="K57" i="16"/>
  <c r="J57" i="16"/>
  <c r="I57" i="16"/>
  <c r="E57" i="16"/>
  <c r="M56" i="16"/>
  <c r="K56" i="16"/>
  <c r="J56" i="16"/>
  <c r="I56" i="16"/>
  <c r="E56" i="16"/>
  <c r="M55" i="16"/>
  <c r="K55" i="16"/>
  <c r="J55" i="16"/>
  <c r="I55" i="16" s="1"/>
  <c r="E55" i="16"/>
  <c r="M54" i="16"/>
  <c r="K54" i="16"/>
  <c r="J54" i="16"/>
  <c r="I54" i="16" s="1"/>
  <c r="E54" i="16"/>
  <c r="M53" i="16"/>
  <c r="K53" i="16"/>
  <c r="J53" i="16"/>
  <c r="I53" i="16"/>
  <c r="E53" i="16"/>
  <c r="M52" i="16"/>
  <c r="K52" i="16"/>
  <c r="J52" i="16"/>
  <c r="I52" i="16"/>
  <c r="E52" i="16"/>
  <c r="M51" i="16"/>
  <c r="K51" i="16"/>
  <c r="J51" i="16"/>
  <c r="I51" i="16" s="1"/>
  <c r="E51" i="16"/>
  <c r="M50" i="16"/>
  <c r="K50" i="16"/>
  <c r="J50" i="16"/>
  <c r="I50" i="16" s="1"/>
  <c r="E50" i="16"/>
  <c r="M49" i="16"/>
  <c r="K49" i="16"/>
  <c r="J49" i="16"/>
  <c r="I49" i="16"/>
  <c r="E49" i="16"/>
  <c r="M48" i="16"/>
  <c r="K48" i="16"/>
  <c r="J48" i="16"/>
  <c r="I48" i="16"/>
  <c r="E48" i="16"/>
  <c r="M47" i="16"/>
  <c r="K47" i="16"/>
  <c r="J47" i="16"/>
  <c r="I47" i="16" s="1"/>
  <c r="E47" i="16"/>
  <c r="M46" i="16"/>
  <c r="K46" i="16"/>
  <c r="J46" i="16"/>
  <c r="I46" i="16" s="1"/>
  <c r="E46" i="16"/>
  <c r="M45" i="16"/>
  <c r="K45" i="16"/>
  <c r="J45" i="16"/>
  <c r="I45" i="16"/>
  <c r="E45" i="16"/>
  <c r="M44" i="16"/>
  <c r="K44" i="16"/>
  <c r="J44" i="16"/>
  <c r="I44" i="16" s="1"/>
  <c r="E44" i="16"/>
  <c r="M43" i="16"/>
  <c r="K43" i="16"/>
  <c r="J43" i="16"/>
  <c r="I43" i="16"/>
  <c r="E43" i="16"/>
  <c r="M42" i="16"/>
  <c r="K42" i="16"/>
  <c r="J42" i="16"/>
  <c r="I42" i="16" s="1"/>
  <c r="E42" i="16"/>
  <c r="M41" i="16"/>
  <c r="K41" i="16"/>
  <c r="J41" i="16"/>
  <c r="I41" i="16"/>
  <c r="E41" i="16"/>
  <c r="M40" i="16"/>
  <c r="K40" i="16"/>
  <c r="J40" i="16"/>
  <c r="I40" i="16" s="1"/>
  <c r="E40" i="16"/>
  <c r="M39" i="16"/>
  <c r="K39" i="16"/>
  <c r="J39" i="16"/>
  <c r="I39" i="16"/>
  <c r="E39" i="16"/>
  <c r="M38" i="16"/>
  <c r="K38" i="16"/>
  <c r="J38" i="16"/>
  <c r="I38" i="16" s="1"/>
  <c r="E38" i="16"/>
  <c r="M37" i="16"/>
  <c r="K37" i="16"/>
  <c r="J37" i="16"/>
  <c r="I37" i="16"/>
  <c r="E37" i="16"/>
  <c r="M36" i="16"/>
  <c r="K36" i="16"/>
  <c r="J36" i="16"/>
  <c r="I36" i="16" s="1"/>
  <c r="E36" i="16"/>
  <c r="M35" i="16"/>
  <c r="K35" i="16"/>
  <c r="J35" i="16"/>
  <c r="I35" i="16"/>
  <c r="E35" i="16"/>
  <c r="M34" i="16"/>
  <c r="K34" i="16"/>
  <c r="J34" i="16"/>
  <c r="I34" i="16" s="1"/>
  <c r="E34" i="16"/>
  <c r="M33" i="16"/>
  <c r="K33" i="16"/>
  <c r="J33" i="16"/>
  <c r="I33" i="16"/>
  <c r="E33" i="16"/>
  <c r="M32" i="16"/>
  <c r="K32" i="16"/>
  <c r="J32" i="16"/>
  <c r="I32" i="16" s="1"/>
  <c r="E32" i="16"/>
  <c r="M31" i="16"/>
  <c r="K31" i="16"/>
  <c r="J31" i="16"/>
  <c r="I31" i="16"/>
  <c r="E31" i="16"/>
  <c r="M30" i="16"/>
  <c r="K30" i="16"/>
  <c r="J30" i="16"/>
  <c r="I30" i="16" s="1"/>
  <c r="E30" i="16"/>
  <c r="M29" i="16"/>
  <c r="K29" i="16"/>
  <c r="J29" i="16"/>
  <c r="I29" i="16"/>
  <c r="E29" i="16"/>
  <c r="M28" i="16"/>
  <c r="K28" i="16"/>
  <c r="J28" i="16"/>
  <c r="I28" i="16" s="1"/>
  <c r="E28" i="16"/>
  <c r="M27" i="16"/>
  <c r="K27" i="16"/>
  <c r="J27" i="16"/>
  <c r="I27" i="16"/>
  <c r="E27" i="16"/>
  <c r="M26" i="16"/>
  <c r="K26" i="16"/>
  <c r="J26" i="16"/>
  <c r="I26" i="16" s="1"/>
  <c r="E26" i="16"/>
  <c r="M25" i="16"/>
  <c r="K25" i="16"/>
  <c r="J25" i="16"/>
  <c r="I25" i="16"/>
  <c r="E25" i="16"/>
  <c r="M24" i="16"/>
  <c r="K24" i="16"/>
  <c r="J24" i="16"/>
  <c r="I24" i="16" s="1"/>
  <c r="E24" i="16"/>
  <c r="M23" i="16"/>
  <c r="K23" i="16"/>
  <c r="J23" i="16"/>
  <c r="I23" i="16"/>
  <c r="E23" i="16"/>
  <c r="M22" i="16"/>
  <c r="K22" i="16"/>
  <c r="J22" i="16"/>
  <c r="I22" i="16" s="1"/>
  <c r="E22" i="16"/>
  <c r="M21" i="16"/>
  <c r="K21" i="16"/>
  <c r="J21" i="16"/>
  <c r="I21" i="16"/>
  <c r="E21" i="16"/>
  <c r="M20" i="16"/>
  <c r="K20" i="16"/>
  <c r="J20" i="16"/>
  <c r="I20" i="16" s="1"/>
  <c r="E20" i="16"/>
  <c r="M19" i="16"/>
  <c r="K19" i="16"/>
  <c r="J19" i="16"/>
  <c r="I19" i="16"/>
  <c r="E19" i="16"/>
  <c r="M18" i="16"/>
  <c r="K18" i="16"/>
  <c r="J18" i="16"/>
  <c r="I18" i="16" s="1"/>
  <c r="E18" i="16"/>
  <c r="M17" i="16"/>
  <c r="K17" i="16"/>
  <c r="J17" i="16"/>
  <c r="I17" i="16"/>
  <c r="E17" i="16"/>
  <c r="M16" i="16"/>
  <c r="K16" i="16"/>
  <c r="J16" i="16"/>
  <c r="I16" i="16" s="1"/>
  <c r="E16" i="16"/>
  <c r="M15" i="16"/>
  <c r="K15" i="16"/>
  <c r="J15" i="16"/>
  <c r="I15" i="16"/>
  <c r="E15" i="16"/>
  <c r="M14" i="16"/>
  <c r="K14" i="16"/>
  <c r="J14" i="16"/>
  <c r="I14" i="16" s="1"/>
  <c r="E14" i="16"/>
  <c r="M13" i="16"/>
  <c r="K13" i="16"/>
  <c r="J13" i="16"/>
  <c r="I13" i="16"/>
  <c r="E13" i="16"/>
  <c r="M12" i="16"/>
  <c r="K12" i="16"/>
  <c r="J12" i="16"/>
  <c r="I12" i="16" s="1"/>
  <c r="E12" i="16"/>
  <c r="M11" i="16"/>
  <c r="K11" i="16"/>
  <c r="J11" i="16"/>
  <c r="I11" i="16"/>
  <c r="E11" i="16"/>
  <c r="M10" i="16"/>
  <c r="K10" i="16"/>
  <c r="J10" i="16"/>
  <c r="I10" i="16" s="1"/>
  <c r="E10" i="16"/>
  <c r="M9" i="16"/>
  <c r="K9" i="16"/>
  <c r="J9" i="16"/>
  <c r="I9" i="16"/>
  <c r="E9" i="16"/>
  <c r="M8" i="16"/>
  <c r="K8" i="16"/>
  <c r="J8" i="16"/>
  <c r="I8" i="16" s="1"/>
  <c r="E8" i="16"/>
  <c r="M7" i="16"/>
  <c r="K7" i="16"/>
  <c r="J7" i="16"/>
  <c r="I7" i="16"/>
  <c r="E7" i="16"/>
  <c r="M6" i="16"/>
  <c r="K6" i="16"/>
  <c r="J6" i="16"/>
  <c r="I6" i="16" s="1"/>
  <c r="E6" i="16"/>
  <c r="M5" i="16"/>
  <c r="K5" i="16"/>
  <c r="J5" i="16"/>
  <c r="I5" i="16"/>
  <c r="E5" i="16"/>
  <c r="M4" i="16"/>
  <c r="K4" i="16"/>
  <c r="J4" i="16"/>
  <c r="I4" i="16" s="1"/>
  <c r="E4" i="16"/>
  <c r="M3" i="16"/>
  <c r="K3" i="16"/>
  <c r="J3" i="16"/>
  <c r="I3" i="16"/>
  <c r="E3" i="16"/>
  <c r="M2" i="16"/>
  <c r="K2" i="16"/>
  <c r="J2" i="16"/>
  <c r="I2" i="16" s="1"/>
  <c r="E2" i="16"/>
  <c r="N118" i="15"/>
  <c r="L118" i="15"/>
  <c r="J118" i="15"/>
  <c r="N117" i="15"/>
  <c r="L117" i="15"/>
  <c r="J117" i="15"/>
  <c r="N116" i="15"/>
  <c r="L116" i="15"/>
  <c r="J116" i="15"/>
  <c r="N115" i="15"/>
  <c r="L115" i="15"/>
  <c r="J115" i="15"/>
  <c r="N114" i="15"/>
  <c r="L114" i="15"/>
  <c r="J114" i="15"/>
  <c r="N113" i="15"/>
  <c r="L113" i="15"/>
  <c r="J113" i="15"/>
  <c r="N112" i="15"/>
  <c r="L112" i="15"/>
  <c r="J112" i="15"/>
  <c r="N111" i="15"/>
  <c r="L111" i="15"/>
  <c r="J111" i="15"/>
  <c r="N110" i="15"/>
  <c r="L110" i="15"/>
  <c r="J110" i="15"/>
  <c r="N109" i="15"/>
  <c r="L109" i="15"/>
  <c r="J109" i="15"/>
  <c r="N108" i="15"/>
  <c r="L108" i="15"/>
  <c r="J108" i="15"/>
  <c r="N107" i="15"/>
  <c r="L107" i="15"/>
  <c r="J107" i="15"/>
  <c r="N106" i="15"/>
  <c r="L106" i="15"/>
  <c r="J106" i="15"/>
  <c r="N105" i="15"/>
  <c r="L105" i="15"/>
  <c r="J105" i="15"/>
  <c r="N104" i="15"/>
  <c r="L104" i="15"/>
  <c r="J104" i="15"/>
  <c r="N103" i="15"/>
  <c r="L103" i="15"/>
  <c r="J103" i="15"/>
  <c r="N102" i="15"/>
  <c r="L102" i="15"/>
  <c r="J102" i="15"/>
  <c r="N101" i="15"/>
  <c r="L101" i="15"/>
  <c r="J101" i="15"/>
  <c r="N100" i="15"/>
  <c r="L100" i="15"/>
  <c r="J100" i="15"/>
  <c r="N99" i="15"/>
  <c r="L99" i="15"/>
  <c r="J99" i="15"/>
  <c r="N98" i="15"/>
  <c r="L98" i="15"/>
  <c r="J98" i="15"/>
  <c r="N97" i="15"/>
  <c r="L97" i="15"/>
  <c r="J97" i="15"/>
  <c r="N96" i="15"/>
  <c r="L96" i="15"/>
  <c r="J96" i="15"/>
  <c r="N95" i="15"/>
  <c r="L95" i="15"/>
  <c r="J95" i="15"/>
  <c r="N94" i="15"/>
  <c r="L94" i="15"/>
  <c r="J94" i="15"/>
  <c r="N93" i="15"/>
  <c r="L93" i="15"/>
  <c r="J93" i="15"/>
  <c r="N92" i="15"/>
  <c r="L92" i="15"/>
  <c r="J92" i="15"/>
  <c r="N91" i="15"/>
  <c r="L91" i="15"/>
  <c r="J91" i="15"/>
  <c r="N90" i="15"/>
  <c r="L90" i="15"/>
  <c r="J90" i="15"/>
  <c r="N89" i="15"/>
  <c r="L89" i="15"/>
  <c r="J89" i="15"/>
  <c r="N88" i="15"/>
  <c r="L88" i="15"/>
  <c r="J88" i="15"/>
  <c r="N87" i="15"/>
  <c r="L87" i="15"/>
  <c r="J87" i="15"/>
  <c r="N86" i="15"/>
  <c r="L86" i="15"/>
  <c r="J86" i="15"/>
  <c r="N85" i="15"/>
  <c r="L85" i="15"/>
  <c r="J85" i="15"/>
  <c r="N84" i="15"/>
  <c r="L84" i="15"/>
  <c r="J84" i="15"/>
  <c r="N83" i="15"/>
  <c r="L83" i="15"/>
  <c r="J83" i="15"/>
  <c r="N82" i="15"/>
  <c r="L82" i="15"/>
  <c r="J82" i="15"/>
  <c r="N81" i="15"/>
  <c r="L81" i="15"/>
  <c r="J81" i="15"/>
  <c r="N80" i="15"/>
  <c r="L80" i="15"/>
  <c r="J80" i="15"/>
  <c r="N79" i="15"/>
  <c r="L79" i="15"/>
  <c r="J79" i="15"/>
  <c r="N78" i="15"/>
  <c r="L78" i="15"/>
  <c r="J78" i="15"/>
  <c r="N77" i="15"/>
  <c r="L77" i="15"/>
  <c r="J77" i="15"/>
  <c r="N76" i="15"/>
  <c r="L76" i="15"/>
  <c r="J76" i="15"/>
  <c r="N75" i="15"/>
  <c r="L75" i="15"/>
  <c r="J75" i="15"/>
  <c r="N74" i="15"/>
  <c r="L74" i="15"/>
  <c r="J74" i="15"/>
  <c r="N73" i="15"/>
  <c r="L73" i="15"/>
  <c r="J73" i="15"/>
  <c r="N72" i="15"/>
  <c r="L72" i="15"/>
  <c r="J72" i="15"/>
  <c r="N71" i="15"/>
  <c r="L71" i="15"/>
  <c r="J71" i="15"/>
  <c r="N70" i="15"/>
  <c r="L70" i="15"/>
  <c r="J70" i="15"/>
  <c r="N69" i="15"/>
  <c r="L69" i="15"/>
  <c r="J69" i="15"/>
  <c r="N68" i="15"/>
  <c r="L68" i="15"/>
  <c r="J68" i="15"/>
  <c r="N67" i="15"/>
  <c r="L67" i="15"/>
  <c r="J67" i="15"/>
  <c r="N66" i="15"/>
  <c r="L66" i="15"/>
  <c r="J66" i="15"/>
  <c r="N65" i="15"/>
  <c r="L65" i="15"/>
  <c r="J65" i="15"/>
  <c r="N64" i="15"/>
  <c r="L64" i="15"/>
  <c r="J64" i="15"/>
  <c r="N63" i="15"/>
  <c r="L63" i="15"/>
  <c r="J63" i="15"/>
  <c r="N62" i="15"/>
  <c r="L62" i="15"/>
  <c r="J62" i="15"/>
  <c r="N61" i="15"/>
  <c r="L61" i="15"/>
  <c r="J61" i="15"/>
  <c r="N60" i="15"/>
  <c r="L60" i="15"/>
  <c r="J60" i="15"/>
  <c r="N59" i="15"/>
  <c r="L59" i="15"/>
  <c r="J59" i="15"/>
  <c r="N58" i="15"/>
  <c r="L58" i="15"/>
  <c r="J58" i="15"/>
  <c r="N57" i="15"/>
  <c r="L57" i="15"/>
  <c r="J57" i="15"/>
  <c r="N56" i="15"/>
  <c r="L56" i="15"/>
  <c r="J56" i="15"/>
  <c r="N55" i="15"/>
  <c r="L55" i="15"/>
  <c r="J55" i="15"/>
  <c r="N54" i="15"/>
  <c r="L54" i="15"/>
  <c r="J54" i="15"/>
  <c r="N53" i="15"/>
  <c r="L53" i="15"/>
  <c r="J53" i="15"/>
  <c r="N52" i="15"/>
  <c r="L52" i="15"/>
  <c r="J52" i="15"/>
  <c r="N51" i="15"/>
  <c r="L51" i="15"/>
  <c r="J51" i="15"/>
  <c r="N50" i="15"/>
  <c r="L50" i="15"/>
  <c r="J50" i="15"/>
  <c r="N49" i="15"/>
  <c r="L49" i="15"/>
  <c r="J49" i="15"/>
  <c r="N48" i="15"/>
  <c r="L48" i="15"/>
  <c r="J48" i="15"/>
  <c r="N47" i="15"/>
  <c r="L47" i="15"/>
  <c r="J47" i="15"/>
  <c r="N46" i="15"/>
  <c r="L46" i="15"/>
  <c r="J46" i="15"/>
  <c r="N45" i="15"/>
  <c r="L45" i="15"/>
  <c r="J45" i="15"/>
  <c r="N44" i="15"/>
  <c r="L44" i="15"/>
  <c r="J44" i="15"/>
  <c r="N43" i="15"/>
  <c r="L43" i="15"/>
  <c r="J43" i="15"/>
  <c r="N42" i="15"/>
  <c r="L42" i="15"/>
  <c r="J42" i="15"/>
  <c r="N41" i="15"/>
  <c r="L41" i="15"/>
  <c r="J41" i="15"/>
  <c r="N40" i="15"/>
  <c r="L40" i="15"/>
  <c r="J40" i="15"/>
  <c r="N39" i="15"/>
  <c r="L39" i="15"/>
  <c r="J39" i="15"/>
  <c r="N38" i="15"/>
  <c r="L38" i="15"/>
  <c r="J38" i="15"/>
  <c r="N37" i="15"/>
  <c r="L37" i="15"/>
  <c r="J37" i="15"/>
  <c r="N36" i="15"/>
  <c r="L36" i="15"/>
  <c r="J36" i="15"/>
  <c r="N35" i="15"/>
  <c r="L35" i="15"/>
  <c r="J35" i="15"/>
  <c r="N34" i="15"/>
  <c r="L34" i="15"/>
  <c r="J34" i="15"/>
  <c r="N33" i="15"/>
  <c r="L33" i="15"/>
  <c r="J33" i="15"/>
  <c r="N32" i="15"/>
  <c r="L32" i="15"/>
  <c r="J32" i="15"/>
  <c r="N31" i="15"/>
  <c r="L31" i="15"/>
  <c r="J31" i="15"/>
  <c r="N30" i="15"/>
  <c r="L30" i="15"/>
  <c r="J30" i="15"/>
  <c r="N29" i="15"/>
  <c r="L29" i="15"/>
  <c r="J29" i="15"/>
  <c r="N28" i="15"/>
  <c r="L28" i="15"/>
  <c r="J28" i="15"/>
  <c r="N27" i="15"/>
  <c r="L27" i="15"/>
  <c r="J27" i="15"/>
  <c r="N26" i="15"/>
  <c r="L26" i="15"/>
  <c r="J26" i="15"/>
  <c r="N25" i="15"/>
  <c r="L25" i="15"/>
  <c r="J25" i="15"/>
  <c r="N24" i="15"/>
  <c r="L24" i="15"/>
  <c r="J24" i="15"/>
  <c r="N23" i="15"/>
  <c r="L23" i="15"/>
  <c r="J23" i="15"/>
  <c r="N22" i="15"/>
  <c r="L22" i="15"/>
  <c r="J22" i="15"/>
  <c r="N21" i="15"/>
  <c r="L21" i="15"/>
  <c r="J21" i="15"/>
  <c r="N20" i="15"/>
  <c r="L20" i="15"/>
  <c r="J20" i="15"/>
  <c r="N19" i="15"/>
  <c r="L19" i="15"/>
  <c r="J19" i="15"/>
  <c r="N18" i="15"/>
  <c r="L18" i="15"/>
  <c r="J18" i="15"/>
  <c r="N17" i="15"/>
  <c r="L17" i="15"/>
  <c r="J17" i="15"/>
  <c r="N16" i="15"/>
  <c r="L16" i="15"/>
  <c r="J16" i="15"/>
  <c r="N15" i="15"/>
  <c r="L15" i="15"/>
  <c r="J15" i="15"/>
  <c r="N14" i="15"/>
  <c r="L14" i="15"/>
  <c r="J14" i="15"/>
  <c r="N13" i="15"/>
  <c r="L13" i="15"/>
  <c r="J13" i="15"/>
  <c r="N12" i="15"/>
  <c r="L12" i="15"/>
  <c r="J12" i="15"/>
  <c r="N11" i="15"/>
  <c r="L11" i="15"/>
  <c r="J11" i="15"/>
  <c r="N10" i="15"/>
  <c r="L10" i="15"/>
  <c r="J10" i="15"/>
  <c r="N9" i="15"/>
  <c r="L9" i="15"/>
  <c r="J9" i="15"/>
  <c r="N8" i="15"/>
  <c r="L8" i="15"/>
  <c r="J8" i="15"/>
  <c r="N7" i="15"/>
  <c r="L7" i="15"/>
  <c r="J7" i="15"/>
  <c r="N6" i="15"/>
  <c r="L6" i="15"/>
  <c r="J6" i="15"/>
  <c r="N5" i="15"/>
  <c r="L5" i="15"/>
  <c r="J5" i="15"/>
  <c r="N4" i="15"/>
  <c r="L4" i="15"/>
  <c r="J4" i="15"/>
  <c r="N3" i="15"/>
  <c r="L3" i="15"/>
  <c r="J3" i="15"/>
  <c r="N2" i="15"/>
  <c r="L2" i="15"/>
  <c r="J2" i="15"/>
  <c r="L118" i="14"/>
  <c r="J118" i="14"/>
  <c r="L117" i="14"/>
  <c r="J117" i="14"/>
  <c r="L116" i="14"/>
  <c r="J116" i="14"/>
  <c r="L115" i="14"/>
  <c r="J115" i="14"/>
  <c r="L114" i="14"/>
  <c r="J114" i="14"/>
  <c r="L113" i="14"/>
  <c r="J113" i="14"/>
  <c r="L112" i="14"/>
  <c r="J112" i="14"/>
  <c r="L111" i="14"/>
  <c r="J111" i="14"/>
  <c r="L110" i="14"/>
  <c r="J110" i="14"/>
  <c r="L109" i="14"/>
  <c r="J109" i="14"/>
  <c r="L108" i="14"/>
  <c r="J108" i="14"/>
  <c r="L107" i="14"/>
  <c r="J107" i="14"/>
  <c r="L106" i="14"/>
  <c r="J106" i="14"/>
  <c r="L104" i="14"/>
  <c r="J104" i="14"/>
  <c r="L103" i="14"/>
  <c r="J103" i="14"/>
  <c r="L102" i="14"/>
  <c r="J102" i="14"/>
  <c r="L101" i="14"/>
  <c r="J101" i="14"/>
  <c r="L99" i="14"/>
  <c r="J99" i="14"/>
  <c r="L98" i="14"/>
  <c r="J98" i="14"/>
  <c r="L97" i="14"/>
  <c r="J97" i="14"/>
  <c r="L96" i="14"/>
  <c r="J96" i="14"/>
  <c r="L95" i="14"/>
  <c r="J95" i="14"/>
  <c r="L94" i="14"/>
  <c r="J94" i="14"/>
  <c r="L92" i="14"/>
  <c r="J92" i="14"/>
  <c r="L90" i="14"/>
  <c r="J90" i="14"/>
  <c r="L89" i="14"/>
  <c r="J89" i="14"/>
  <c r="L88" i="14"/>
  <c r="J88" i="14"/>
  <c r="L87" i="14"/>
  <c r="J87" i="14"/>
  <c r="L86" i="14"/>
  <c r="J86" i="14"/>
  <c r="L85" i="14"/>
  <c r="J85" i="14"/>
  <c r="L84" i="14"/>
  <c r="J84" i="14"/>
  <c r="L83" i="14"/>
  <c r="J83" i="14"/>
  <c r="L82" i="14"/>
  <c r="J82" i="14"/>
  <c r="L81" i="14"/>
  <c r="J81" i="14"/>
  <c r="L79" i="14"/>
  <c r="J79" i="14"/>
  <c r="L78" i="14"/>
  <c r="J78" i="14"/>
  <c r="L77" i="14"/>
  <c r="J77" i="14"/>
  <c r="L76" i="14"/>
  <c r="J76" i="14"/>
  <c r="L75" i="14"/>
  <c r="J75" i="14"/>
  <c r="L74" i="14"/>
  <c r="J74" i="14"/>
  <c r="L73" i="14"/>
  <c r="J73" i="14"/>
  <c r="L71" i="14"/>
  <c r="J71" i="14"/>
  <c r="L70" i="14"/>
  <c r="J70" i="14"/>
  <c r="L69" i="14"/>
  <c r="J69" i="14"/>
  <c r="L68" i="14"/>
  <c r="J68" i="14"/>
  <c r="L67" i="14"/>
  <c r="J67" i="14"/>
  <c r="L66" i="14"/>
  <c r="J66" i="14"/>
  <c r="L65" i="14"/>
  <c r="J65" i="14"/>
  <c r="L64" i="14"/>
  <c r="J64" i="14"/>
  <c r="L63" i="14"/>
  <c r="J63" i="14"/>
  <c r="L62" i="14"/>
  <c r="J62" i="14"/>
  <c r="L61" i="14"/>
  <c r="J61" i="14"/>
  <c r="L60" i="14"/>
  <c r="J60" i="14"/>
  <c r="L59" i="14"/>
  <c r="J59" i="14"/>
  <c r="L58" i="14"/>
  <c r="J58" i="14"/>
  <c r="L57" i="14"/>
  <c r="J57" i="14"/>
  <c r="L56" i="14"/>
  <c r="J56" i="14"/>
  <c r="L55" i="14"/>
  <c r="J55" i="14"/>
  <c r="L54" i="14"/>
  <c r="J54" i="14"/>
  <c r="L53" i="14"/>
  <c r="J53" i="14"/>
  <c r="L52" i="14"/>
  <c r="J52" i="14"/>
  <c r="L51" i="14"/>
  <c r="J51" i="14"/>
  <c r="L50" i="14"/>
  <c r="J50" i="14"/>
  <c r="L47" i="14"/>
  <c r="J47" i="14"/>
  <c r="L46" i="14"/>
  <c r="J46" i="14"/>
  <c r="L44" i="14"/>
  <c r="J44" i="14"/>
  <c r="L43" i="14"/>
  <c r="J43" i="14"/>
  <c r="L42" i="14"/>
  <c r="J42" i="14"/>
  <c r="L41" i="14"/>
  <c r="J41" i="14"/>
  <c r="L40" i="14"/>
  <c r="J40" i="14"/>
  <c r="L38" i="14"/>
  <c r="J38" i="14"/>
  <c r="L37" i="14"/>
  <c r="J37" i="14"/>
  <c r="L36" i="14"/>
  <c r="J36" i="14"/>
  <c r="L35" i="14"/>
  <c r="J35" i="14"/>
  <c r="L34" i="14"/>
  <c r="J34" i="14"/>
  <c r="L33" i="14"/>
  <c r="J33" i="14"/>
  <c r="L32" i="14"/>
  <c r="J32" i="14"/>
  <c r="L31" i="14"/>
  <c r="J31" i="14"/>
  <c r="L30" i="14"/>
  <c r="J30" i="14"/>
  <c r="L29" i="14"/>
  <c r="J29" i="14"/>
  <c r="L28" i="14"/>
  <c r="J28" i="14"/>
  <c r="L25" i="14"/>
  <c r="J25" i="14"/>
  <c r="L24" i="14"/>
  <c r="J24" i="14"/>
  <c r="L23" i="14"/>
  <c r="J23" i="14"/>
  <c r="L22" i="14"/>
  <c r="J22" i="14"/>
  <c r="L21" i="14"/>
  <c r="J21" i="14"/>
  <c r="L20" i="14"/>
  <c r="J20" i="14"/>
  <c r="L19" i="14"/>
  <c r="J19" i="14"/>
  <c r="L18" i="14"/>
  <c r="J18" i="14"/>
  <c r="L16" i="14"/>
  <c r="J16" i="14"/>
  <c r="L15" i="14"/>
  <c r="J15" i="14"/>
  <c r="L13" i="14"/>
  <c r="J13" i="14"/>
  <c r="L12" i="14"/>
  <c r="J12" i="14"/>
  <c r="L11" i="14"/>
  <c r="J11" i="14"/>
  <c r="L10" i="14"/>
  <c r="J10" i="14"/>
  <c r="L9" i="14"/>
  <c r="J9" i="14"/>
  <c r="L8" i="14"/>
  <c r="J8" i="14"/>
  <c r="L7" i="14"/>
  <c r="J7" i="14"/>
  <c r="L6" i="14"/>
  <c r="J6" i="14"/>
  <c r="O112" i="13"/>
  <c r="M112" i="13"/>
  <c r="K112" i="13"/>
  <c r="H112" i="13"/>
  <c r="O111" i="13"/>
  <c r="M111" i="13"/>
  <c r="K111" i="13"/>
  <c r="H111" i="13"/>
  <c r="O110" i="13"/>
  <c r="M110" i="13"/>
  <c r="K110" i="13"/>
  <c r="H110" i="13"/>
  <c r="O109" i="13"/>
  <c r="M109" i="13"/>
  <c r="K109" i="13"/>
  <c r="H109" i="13"/>
  <c r="O108" i="13"/>
  <c r="M108" i="13"/>
  <c r="K108" i="13"/>
  <c r="H108" i="13"/>
  <c r="O107" i="13"/>
  <c r="M107" i="13"/>
  <c r="K107" i="13"/>
  <c r="H107" i="13"/>
  <c r="O106" i="13"/>
  <c r="M106" i="13"/>
  <c r="K106" i="13"/>
  <c r="H106" i="13"/>
  <c r="O105" i="13"/>
  <c r="M105" i="13"/>
  <c r="K105" i="13"/>
  <c r="H105" i="13"/>
  <c r="O104" i="13"/>
  <c r="M104" i="13"/>
  <c r="K104" i="13"/>
  <c r="H104" i="13"/>
  <c r="O103" i="13"/>
  <c r="M103" i="13"/>
  <c r="K103" i="13"/>
  <c r="H103" i="13"/>
  <c r="O102" i="13"/>
  <c r="M102" i="13"/>
  <c r="K102" i="13"/>
  <c r="H102" i="13"/>
  <c r="O101" i="13"/>
  <c r="M101" i="13"/>
  <c r="K101" i="13"/>
  <c r="H101" i="13"/>
  <c r="O100" i="13"/>
  <c r="M100" i="13"/>
  <c r="K100" i="13"/>
  <c r="H100" i="13"/>
  <c r="O99" i="13"/>
  <c r="M99" i="13"/>
  <c r="K99" i="13"/>
  <c r="H99" i="13"/>
  <c r="O98" i="13"/>
  <c r="M98" i="13"/>
  <c r="K98" i="13"/>
  <c r="H98" i="13"/>
  <c r="O97" i="13"/>
  <c r="M97" i="13"/>
  <c r="K97" i="13"/>
  <c r="H97" i="13"/>
  <c r="O96" i="13"/>
  <c r="M96" i="13"/>
  <c r="K96" i="13"/>
  <c r="H96" i="13"/>
  <c r="O95" i="13"/>
  <c r="M95" i="13"/>
  <c r="K95" i="13"/>
  <c r="H95" i="13"/>
  <c r="O94" i="13"/>
  <c r="M94" i="13"/>
  <c r="K94" i="13"/>
  <c r="H94" i="13"/>
  <c r="O93" i="13"/>
  <c r="M93" i="13"/>
  <c r="K93" i="13"/>
  <c r="H93" i="13"/>
  <c r="O92" i="13"/>
  <c r="M92" i="13"/>
  <c r="K92" i="13"/>
  <c r="H92" i="13"/>
  <c r="O91" i="13"/>
  <c r="M91" i="13"/>
  <c r="K91" i="13"/>
  <c r="H91" i="13"/>
  <c r="O90" i="13"/>
  <c r="M90" i="13"/>
  <c r="K90" i="13"/>
  <c r="H90" i="13"/>
  <c r="O89" i="13"/>
  <c r="M89" i="13"/>
  <c r="K89" i="13"/>
  <c r="H89" i="13"/>
  <c r="O88" i="13"/>
  <c r="M88" i="13"/>
  <c r="K88" i="13"/>
  <c r="H88" i="13"/>
  <c r="O87" i="13"/>
  <c r="M87" i="13"/>
  <c r="K87" i="13"/>
  <c r="H87" i="13"/>
  <c r="O86" i="13"/>
  <c r="M86" i="13"/>
  <c r="K86" i="13"/>
  <c r="H86" i="13"/>
  <c r="O85" i="13"/>
  <c r="M85" i="13"/>
  <c r="K85" i="13"/>
  <c r="H85" i="13"/>
  <c r="O84" i="13"/>
  <c r="M84" i="13"/>
  <c r="K84" i="13"/>
  <c r="H84" i="13"/>
  <c r="O83" i="13"/>
  <c r="M83" i="13"/>
  <c r="K83" i="13"/>
  <c r="H83" i="13"/>
  <c r="O82" i="13"/>
  <c r="M82" i="13"/>
  <c r="K82" i="13"/>
  <c r="H82" i="13"/>
  <c r="O81" i="13"/>
  <c r="M81" i="13"/>
  <c r="K81" i="13"/>
  <c r="H81" i="13"/>
  <c r="O80" i="13"/>
  <c r="M80" i="13"/>
  <c r="K80" i="13"/>
  <c r="H80" i="13"/>
  <c r="O79" i="13"/>
  <c r="M79" i="13"/>
  <c r="K79" i="13"/>
  <c r="H79" i="13"/>
  <c r="O78" i="13"/>
  <c r="M78" i="13"/>
  <c r="K78" i="13"/>
  <c r="H78" i="13"/>
  <c r="O77" i="13"/>
  <c r="M77" i="13"/>
  <c r="K77" i="13"/>
  <c r="H77" i="13"/>
  <c r="O76" i="13"/>
  <c r="M76" i="13"/>
  <c r="K76" i="13"/>
  <c r="H76" i="13"/>
  <c r="O75" i="13"/>
  <c r="M75" i="13"/>
  <c r="K75" i="13"/>
  <c r="H75" i="13"/>
  <c r="O74" i="13"/>
  <c r="M74" i="13"/>
  <c r="K74" i="13"/>
  <c r="H74" i="13"/>
  <c r="O73" i="13"/>
  <c r="M73" i="13"/>
  <c r="K73" i="13"/>
  <c r="H73" i="13"/>
  <c r="O72" i="13"/>
  <c r="M72" i="13"/>
  <c r="K72" i="13"/>
  <c r="H72" i="13"/>
  <c r="O71" i="13"/>
  <c r="M71" i="13"/>
  <c r="K71" i="13"/>
  <c r="H71" i="13"/>
  <c r="O70" i="13"/>
  <c r="M70" i="13"/>
  <c r="K70" i="13"/>
  <c r="H70" i="13"/>
  <c r="O69" i="13"/>
  <c r="M69" i="13"/>
  <c r="K69" i="13"/>
  <c r="H69" i="13"/>
  <c r="O68" i="13"/>
  <c r="M68" i="13"/>
  <c r="K68" i="13"/>
  <c r="H68" i="13"/>
  <c r="O67" i="13"/>
  <c r="M67" i="13"/>
  <c r="K67" i="13"/>
  <c r="H67" i="13"/>
  <c r="O66" i="13"/>
  <c r="M66" i="13"/>
  <c r="K66" i="13"/>
  <c r="H66" i="13"/>
  <c r="O65" i="13"/>
  <c r="M65" i="13"/>
  <c r="K65" i="13"/>
  <c r="H65" i="13"/>
  <c r="O64" i="13"/>
  <c r="M64" i="13"/>
  <c r="K64" i="13"/>
  <c r="H64" i="13"/>
  <c r="O63" i="13"/>
  <c r="M63" i="13"/>
  <c r="K63" i="13"/>
  <c r="H63" i="13"/>
  <c r="O62" i="13"/>
  <c r="M62" i="13"/>
  <c r="K62" i="13"/>
  <c r="H62" i="13"/>
  <c r="O61" i="13"/>
  <c r="M61" i="13"/>
  <c r="K61" i="13"/>
  <c r="H61" i="13"/>
  <c r="O60" i="13"/>
  <c r="M60" i="13"/>
  <c r="K60" i="13"/>
  <c r="H60" i="13"/>
  <c r="O59" i="13"/>
  <c r="M59" i="13"/>
  <c r="K59" i="13"/>
  <c r="H59" i="13"/>
  <c r="O58" i="13"/>
  <c r="M58" i="13"/>
  <c r="K58" i="13"/>
  <c r="H58" i="13"/>
  <c r="O57" i="13"/>
  <c r="M57" i="13"/>
  <c r="K57" i="13"/>
  <c r="H57" i="13"/>
  <c r="O56" i="13"/>
  <c r="M56" i="13"/>
  <c r="K56" i="13"/>
  <c r="H56" i="13"/>
  <c r="O55" i="13"/>
  <c r="M55" i="13"/>
  <c r="K55" i="13"/>
  <c r="H55" i="13"/>
  <c r="O54" i="13"/>
  <c r="M54" i="13"/>
  <c r="K54" i="13"/>
  <c r="H54" i="13"/>
  <c r="O53" i="13"/>
  <c r="M53" i="13"/>
  <c r="K53" i="13"/>
  <c r="H53" i="13"/>
  <c r="O52" i="13"/>
  <c r="M52" i="13"/>
  <c r="K52" i="13"/>
  <c r="H52" i="13"/>
  <c r="O51" i="13"/>
  <c r="M51" i="13"/>
  <c r="K51" i="13"/>
  <c r="H51" i="13"/>
  <c r="O50" i="13"/>
  <c r="M50" i="13"/>
  <c r="K50" i="13"/>
  <c r="H50" i="13"/>
  <c r="O49" i="13"/>
  <c r="M49" i="13"/>
  <c r="K49" i="13"/>
  <c r="H49" i="13"/>
  <c r="O48" i="13"/>
  <c r="M48" i="13"/>
  <c r="K48" i="13"/>
  <c r="H48" i="13"/>
  <c r="O47" i="13"/>
  <c r="M47" i="13"/>
  <c r="K47" i="13"/>
  <c r="H47" i="13"/>
  <c r="O46" i="13"/>
  <c r="M46" i="13"/>
  <c r="K46" i="13"/>
  <c r="H46" i="13"/>
  <c r="O45" i="13"/>
  <c r="M45" i="13"/>
  <c r="K45" i="13"/>
  <c r="H45" i="13"/>
  <c r="O44" i="13"/>
  <c r="M44" i="13"/>
  <c r="K44" i="13"/>
  <c r="H44" i="13"/>
  <c r="O43" i="13"/>
  <c r="M43" i="13"/>
  <c r="K43" i="13"/>
  <c r="H43" i="13"/>
  <c r="O42" i="13"/>
  <c r="M42" i="13"/>
  <c r="K42" i="13"/>
  <c r="H42" i="13"/>
  <c r="O41" i="13"/>
  <c r="M41" i="13"/>
  <c r="K41" i="13"/>
  <c r="H41" i="13"/>
  <c r="O40" i="13"/>
  <c r="M40" i="13"/>
  <c r="K40" i="13"/>
  <c r="H40" i="13"/>
  <c r="O39" i="13"/>
  <c r="M39" i="13"/>
  <c r="K39" i="13"/>
  <c r="H39" i="13"/>
  <c r="O38" i="13"/>
  <c r="M38" i="13"/>
  <c r="K38" i="13"/>
  <c r="H38" i="13"/>
  <c r="O37" i="13"/>
  <c r="M37" i="13"/>
  <c r="K37" i="13"/>
  <c r="H37" i="13"/>
  <c r="O36" i="13"/>
  <c r="M36" i="13"/>
  <c r="K36" i="13"/>
  <c r="H36" i="13"/>
  <c r="O35" i="13"/>
  <c r="M35" i="13"/>
  <c r="K35" i="13"/>
  <c r="H35" i="13"/>
  <c r="O34" i="13"/>
  <c r="M34" i="13"/>
  <c r="K34" i="13"/>
  <c r="H34" i="13"/>
  <c r="O33" i="13"/>
  <c r="M33" i="13"/>
  <c r="K33" i="13"/>
  <c r="H33" i="13"/>
  <c r="O32" i="13"/>
  <c r="M32" i="13"/>
  <c r="K32" i="13"/>
  <c r="H32" i="13"/>
  <c r="O31" i="13"/>
  <c r="M31" i="13"/>
  <c r="K31" i="13"/>
  <c r="H31" i="13"/>
  <c r="O30" i="13"/>
  <c r="M30" i="13"/>
  <c r="K30" i="13"/>
  <c r="H30" i="13"/>
  <c r="O29" i="13"/>
  <c r="M29" i="13"/>
  <c r="K29" i="13"/>
  <c r="H29" i="13"/>
  <c r="O28" i="13"/>
  <c r="M28" i="13"/>
  <c r="K28" i="13"/>
  <c r="H28" i="13"/>
  <c r="O27" i="13"/>
  <c r="M27" i="13"/>
  <c r="K27" i="13"/>
  <c r="H27" i="13"/>
  <c r="O26" i="13"/>
  <c r="M26" i="13"/>
  <c r="K26" i="13"/>
  <c r="H26" i="13"/>
  <c r="O25" i="13"/>
  <c r="M25" i="13"/>
  <c r="K25" i="13"/>
  <c r="H25" i="13"/>
  <c r="O24" i="13"/>
  <c r="M24" i="13"/>
  <c r="K24" i="13"/>
  <c r="H24" i="13"/>
  <c r="O23" i="13"/>
  <c r="M23" i="13"/>
  <c r="K23" i="13"/>
  <c r="H23" i="13"/>
  <c r="O22" i="13"/>
  <c r="M22" i="13"/>
  <c r="K22" i="13"/>
  <c r="H22" i="13"/>
  <c r="O21" i="13"/>
  <c r="M21" i="13"/>
  <c r="K21" i="13"/>
  <c r="H21" i="13"/>
  <c r="O20" i="13"/>
  <c r="M20" i="13"/>
  <c r="K20" i="13"/>
  <c r="H20" i="13"/>
  <c r="O19" i="13"/>
  <c r="M19" i="13"/>
  <c r="K19" i="13"/>
  <c r="H19" i="13"/>
  <c r="O18" i="13"/>
  <c r="M18" i="13"/>
  <c r="K18" i="13"/>
  <c r="H18" i="13"/>
  <c r="O17" i="13"/>
  <c r="M17" i="13"/>
  <c r="K17" i="13"/>
  <c r="H17" i="13"/>
  <c r="O16" i="13"/>
  <c r="M16" i="13"/>
  <c r="K16" i="13"/>
  <c r="H16" i="13"/>
  <c r="O15" i="13"/>
  <c r="M15" i="13"/>
  <c r="K15" i="13"/>
  <c r="H15" i="13"/>
  <c r="O14" i="13"/>
  <c r="M14" i="13"/>
  <c r="K14" i="13"/>
  <c r="H14" i="13"/>
  <c r="O13" i="13"/>
  <c r="M13" i="13"/>
  <c r="K13" i="13"/>
  <c r="H13" i="13"/>
  <c r="O12" i="13"/>
  <c r="M12" i="13"/>
  <c r="K12" i="13"/>
  <c r="H12" i="13"/>
  <c r="O11" i="13"/>
  <c r="M11" i="13"/>
  <c r="K11" i="13"/>
  <c r="H11" i="13"/>
  <c r="O10" i="13"/>
  <c r="M10" i="13"/>
  <c r="K10" i="13"/>
  <c r="H10" i="13"/>
  <c r="O9" i="13"/>
  <c r="M9" i="13"/>
  <c r="K9" i="13"/>
  <c r="H9" i="13"/>
  <c r="O8" i="13"/>
  <c r="M8" i="13"/>
  <c r="K8" i="13"/>
  <c r="H8" i="13"/>
  <c r="O7" i="13"/>
  <c r="M7" i="13"/>
  <c r="K7" i="13"/>
  <c r="H7" i="13"/>
  <c r="O6" i="13"/>
  <c r="M6" i="13"/>
  <c r="K6" i="13"/>
  <c r="H6" i="13"/>
  <c r="O5" i="13"/>
  <c r="M5" i="13"/>
  <c r="K5" i="13"/>
  <c r="H5" i="13"/>
  <c r="O4" i="13"/>
  <c r="M4" i="13"/>
  <c r="K4" i="13"/>
  <c r="H4" i="13"/>
  <c r="O3" i="13"/>
  <c r="M3" i="13"/>
  <c r="K3" i="13"/>
  <c r="H3" i="13"/>
  <c r="O2" i="13"/>
  <c r="M2" i="13"/>
  <c r="K2" i="13"/>
  <c r="H2" i="13"/>
  <c r="M116" i="12"/>
  <c r="K116" i="12"/>
  <c r="I116" i="12"/>
  <c r="M114" i="12"/>
  <c r="K114" i="12"/>
  <c r="I114" i="12"/>
  <c r="M113" i="12"/>
  <c r="K113" i="12"/>
  <c r="I113" i="12"/>
  <c r="M108" i="12"/>
  <c r="K108" i="12"/>
  <c r="I108" i="12"/>
  <c r="M101" i="12"/>
  <c r="K101" i="12"/>
  <c r="I101" i="12"/>
  <c r="M99" i="12"/>
  <c r="K99" i="12"/>
  <c r="I99" i="12"/>
  <c r="M96" i="12"/>
  <c r="K96" i="12"/>
  <c r="I96" i="12"/>
  <c r="M95" i="12"/>
  <c r="K95" i="12"/>
  <c r="I95" i="12"/>
  <c r="M93" i="12"/>
  <c r="K93" i="12"/>
  <c r="I93" i="12"/>
  <c r="M89" i="12"/>
  <c r="K89" i="12"/>
  <c r="I89" i="12"/>
  <c r="M87" i="12"/>
  <c r="K87" i="12"/>
  <c r="I87" i="12"/>
  <c r="M86" i="12"/>
  <c r="K86" i="12"/>
  <c r="I86" i="12"/>
  <c r="M85" i="12"/>
  <c r="K85" i="12"/>
  <c r="I85" i="12"/>
  <c r="M83" i="12"/>
  <c r="K83" i="12"/>
  <c r="I83" i="12"/>
  <c r="M82" i="12"/>
  <c r="K82" i="12"/>
  <c r="I82" i="12"/>
  <c r="M81" i="12"/>
  <c r="K81" i="12"/>
  <c r="I81" i="12"/>
  <c r="M78" i="12"/>
  <c r="K78" i="12"/>
  <c r="I78" i="12"/>
  <c r="M77" i="12"/>
  <c r="K77" i="12"/>
  <c r="I77" i="12"/>
  <c r="M75" i="12"/>
  <c r="K75" i="12"/>
  <c r="I75" i="12"/>
  <c r="M73" i="12"/>
  <c r="K73" i="12"/>
  <c r="I73" i="12"/>
  <c r="M70" i="12"/>
  <c r="K70" i="12"/>
  <c r="I70" i="12"/>
  <c r="M69" i="12"/>
  <c r="K69" i="12"/>
  <c r="I69" i="12"/>
  <c r="M68" i="12"/>
  <c r="K68" i="12"/>
  <c r="I68" i="12"/>
  <c r="M65" i="12"/>
  <c r="K65" i="12"/>
  <c r="I65" i="12"/>
  <c r="M62" i="12"/>
  <c r="K62" i="12"/>
  <c r="I62" i="12"/>
  <c r="M61" i="12"/>
  <c r="K61" i="12"/>
  <c r="I61" i="12"/>
  <c r="M53" i="12"/>
  <c r="K53" i="12"/>
  <c r="I53" i="12"/>
  <c r="M45" i="12"/>
  <c r="K45" i="12"/>
  <c r="I45" i="12"/>
  <c r="M44" i="12"/>
  <c r="K44" i="12"/>
  <c r="I44" i="12"/>
  <c r="M42" i="12"/>
  <c r="K42" i="12"/>
  <c r="I42" i="12"/>
  <c r="M41" i="12"/>
  <c r="K41" i="12"/>
  <c r="I41" i="12"/>
  <c r="M40" i="12"/>
  <c r="K40" i="12"/>
  <c r="I40" i="12"/>
  <c r="M35" i="12"/>
  <c r="K35" i="12"/>
  <c r="I35" i="12"/>
  <c r="M34" i="12"/>
  <c r="K34" i="12"/>
  <c r="I34" i="12"/>
  <c r="M33" i="12"/>
  <c r="K33" i="12"/>
  <c r="I33" i="12"/>
  <c r="M31" i="12"/>
  <c r="K31" i="12"/>
  <c r="I31" i="12"/>
  <c r="M30" i="12"/>
  <c r="K30" i="12"/>
  <c r="I30" i="12"/>
  <c r="M29" i="12"/>
  <c r="K29" i="12"/>
  <c r="I29" i="12"/>
  <c r="M28" i="12"/>
  <c r="K28" i="12"/>
  <c r="I28" i="12"/>
  <c r="M25" i="12"/>
  <c r="K25" i="12"/>
  <c r="I25" i="12"/>
  <c r="M23" i="12"/>
  <c r="K23" i="12"/>
  <c r="I23" i="12"/>
  <c r="M22" i="12"/>
  <c r="K22" i="12"/>
  <c r="I22" i="12"/>
  <c r="M20" i="12"/>
  <c r="K20" i="12"/>
  <c r="I20" i="12"/>
  <c r="M16" i="12"/>
  <c r="K16" i="12"/>
  <c r="I16" i="12"/>
  <c r="M15" i="12"/>
  <c r="K15" i="12"/>
  <c r="I15" i="12"/>
  <c r="M14" i="12"/>
  <c r="K14" i="12"/>
  <c r="I14" i="12"/>
  <c r="M13" i="12"/>
  <c r="K13" i="12"/>
  <c r="I13" i="12"/>
  <c r="M6" i="12"/>
  <c r="K6" i="12"/>
  <c r="I6" i="12"/>
  <c r="M5" i="12"/>
  <c r="K5" i="12"/>
  <c r="I5" i="12"/>
  <c r="I118" i="11"/>
  <c r="I117" i="11"/>
  <c r="M116" i="11"/>
  <c r="K116" i="11"/>
  <c r="I116" i="11"/>
  <c r="I115" i="11"/>
  <c r="M114" i="11"/>
  <c r="K114" i="11"/>
  <c r="I114" i="11"/>
  <c r="M113" i="11"/>
  <c r="K113" i="11"/>
  <c r="I113" i="11"/>
  <c r="M112" i="11"/>
  <c r="K112" i="11"/>
  <c r="I112" i="11"/>
  <c r="M111" i="11"/>
  <c r="K111" i="11"/>
  <c r="I111" i="11"/>
  <c r="I110" i="11"/>
  <c r="I109" i="11"/>
  <c r="M108" i="11"/>
  <c r="K108" i="11"/>
  <c r="I108" i="11"/>
  <c r="M107" i="11"/>
  <c r="K107" i="11"/>
  <c r="I107" i="11"/>
  <c r="M106" i="11"/>
  <c r="K106" i="11"/>
  <c r="I106" i="11"/>
  <c r="I105" i="11"/>
  <c r="I104" i="11"/>
  <c r="M103" i="11"/>
  <c r="K103" i="11"/>
  <c r="I103" i="11"/>
  <c r="M102" i="11"/>
  <c r="K102" i="11"/>
  <c r="I102" i="11"/>
  <c r="M101" i="11"/>
  <c r="K101" i="11"/>
  <c r="I101" i="11"/>
  <c r="I100" i="11"/>
  <c r="M99" i="11"/>
  <c r="K99" i="11"/>
  <c r="I99" i="11"/>
  <c r="M98" i="11"/>
  <c r="K98" i="11"/>
  <c r="I98" i="11"/>
  <c r="M97" i="11"/>
  <c r="K97" i="11"/>
  <c r="I97" i="11"/>
  <c r="M96" i="11"/>
  <c r="K96" i="11"/>
  <c r="I96" i="11"/>
  <c r="M95" i="11"/>
  <c r="K95" i="11"/>
  <c r="I95" i="11"/>
  <c r="M94" i="11"/>
  <c r="K94" i="11"/>
  <c r="I94" i="11"/>
  <c r="M93" i="11"/>
  <c r="K93" i="11"/>
  <c r="I93" i="11"/>
  <c r="M92" i="11"/>
  <c r="K92" i="11"/>
  <c r="I92" i="11"/>
  <c r="I91" i="11"/>
  <c r="I90" i="11"/>
  <c r="M89" i="11"/>
  <c r="K89" i="11"/>
  <c r="I89" i="11"/>
  <c r="M88" i="11"/>
  <c r="K88" i="11"/>
  <c r="I88" i="11"/>
  <c r="M87" i="11"/>
  <c r="K87" i="11"/>
  <c r="I87" i="11"/>
  <c r="M86" i="11"/>
  <c r="K86" i="11"/>
  <c r="I86" i="11"/>
  <c r="M85" i="11"/>
  <c r="K85" i="11"/>
  <c r="I85" i="11"/>
  <c r="I84" i="11"/>
  <c r="M83" i="11"/>
  <c r="K83" i="11"/>
  <c r="I83" i="11"/>
  <c r="M82" i="11"/>
  <c r="K82" i="11"/>
  <c r="I82" i="11"/>
  <c r="M81" i="11"/>
  <c r="K81" i="11"/>
  <c r="I81" i="11"/>
  <c r="I80" i="11"/>
  <c r="I79" i="11"/>
  <c r="M78" i="11"/>
  <c r="K78" i="11"/>
  <c r="I78" i="11"/>
  <c r="M77" i="11"/>
  <c r="K77" i="11"/>
  <c r="I77" i="11"/>
  <c r="I76" i="11"/>
  <c r="M75" i="11"/>
  <c r="K75" i="11"/>
  <c r="I75" i="11"/>
  <c r="M74" i="11"/>
  <c r="K74" i="11"/>
  <c r="I74" i="11"/>
  <c r="M73" i="11"/>
  <c r="K73" i="11"/>
  <c r="I73" i="11"/>
  <c r="I72" i="11"/>
  <c r="I71" i="11"/>
  <c r="M70" i="11"/>
  <c r="K70" i="11"/>
  <c r="I70" i="11"/>
  <c r="I69" i="11"/>
  <c r="M68" i="11"/>
  <c r="K68" i="11"/>
  <c r="I68" i="11"/>
  <c r="M67" i="11"/>
  <c r="K67" i="11"/>
  <c r="I67" i="11"/>
  <c r="M66" i="11"/>
  <c r="K66" i="11"/>
  <c r="I66" i="11"/>
  <c r="M65" i="11"/>
  <c r="K65" i="11"/>
  <c r="I65" i="11"/>
  <c r="I64" i="11"/>
  <c r="M63" i="11"/>
  <c r="K63" i="11"/>
  <c r="I63" i="11"/>
  <c r="M62" i="11"/>
  <c r="K62" i="11"/>
  <c r="I62" i="11"/>
  <c r="M61" i="11"/>
  <c r="K61" i="11"/>
  <c r="I61" i="11"/>
  <c r="I60" i="11"/>
  <c r="I59" i="11"/>
  <c r="M58" i="11"/>
  <c r="K58" i="11"/>
  <c r="I58" i="11"/>
  <c r="I57" i="11"/>
  <c r="I56" i="11"/>
  <c r="M55" i="11"/>
  <c r="K55" i="11"/>
  <c r="I55" i="11"/>
  <c r="M54" i="11"/>
  <c r="K54" i="11"/>
  <c r="I54" i="11"/>
  <c r="M53" i="11"/>
  <c r="K53" i="11"/>
  <c r="I53" i="11"/>
  <c r="M52" i="11"/>
  <c r="K52" i="11"/>
  <c r="I52" i="11"/>
  <c r="I51" i="11"/>
  <c r="M50" i="11"/>
  <c r="K50" i="11"/>
  <c r="I50" i="11"/>
  <c r="M49" i="11"/>
  <c r="K49" i="11"/>
  <c r="I49" i="11"/>
  <c r="I48" i="11"/>
  <c r="M47" i="11"/>
  <c r="K47" i="11"/>
  <c r="I47" i="11"/>
  <c r="M46" i="11"/>
  <c r="K46" i="11"/>
  <c r="I46" i="11"/>
  <c r="M45" i="11"/>
  <c r="K45" i="11"/>
  <c r="I45" i="11"/>
  <c r="M44" i="11"/>
  <c r="K44" i="11"/>
  <c r="I44" i="11"/>
  <c r="M43" i="11"/>
  <c r="K43" i="11"/>
  <c r="I43" i="11"/>
  <c r="M42" i="11"/>
  <c r="K42" i="11"/>
  <c r="I42" i="11"/>
  <c r="M41" i="11"/>
  <c r="K41" i="11"/>
  <c r="I41" i="11"/>
  <c r="M40" i="11"/>
  <c r="K40" i="11"/>
  <c r="I40" i="11"/>
  <c r="I39" i="11"/>
  <c r="M38" i="11"/>
  <c r="K38" i="11"/>
  <c r="I38" i="11"/>
  <c r="I37" i="11"/>
  <c r="M36" i="11"/>
  <c r="K36" i="11"/>
  <c r="I36" i="11"/>
  <c r="M35" i="11"/>
  <c r="K35" i="11"/>
  <c r="I35" i="11"/>
  <c r="M34" i="11"/>
  <c r="K34" i="11"/>
  <c r="I34" i="11"/>
  <c r="M33" i="11"/>
  <c r="K33" i="11"/>
  <c r="I33" i="11"/>
  <c r="M32" i="11"/>
  <c r="K32" i="11"/>
  <c r="I32" i="11"/>
  <c r="M31" i="11"/>
  <c r="K31" i="11"/>
  <c r="I31" i="11"/>
  <c r="M30" i="11"/>
  <c r="K30" i="11"/>
  <c r="I30" i="11"/>
  <c r="M29" i="11"/>
  <c r="K29" i="11"/>
  <c r="I29" i="11"/>
  <c r="M28" i="11"/>
  <c r="K28" i="11"/>
  <c r="I28" i="11"/>
  <c r="I27" i="11"/>
  <c r="I26" i="11"/>
  <c r="M25" i="11"/>
  <c r="K25" i="11"/>
  <c r="I25" i="11"/>
  <c r="I24" i="11"/>
  <c r="M23" i="11"/>
  <c r="K23" i="11"/>
  <c r="I23" i="11"/>
  <c r="M22" i="11"/>
  <c r="K22" i="11"/>
  <c r="I22" i="11"/>
  <c r="I21" i="11"/>
  <c r="M20" i="11"/>
  <c r="K20" i="11"/>
  <c r="I20" i="11"/>
  <c r="M19" i="11"/>
  <c r="K19" i="11"/>
  <c r="I19" i="11"/>
  <c r="I18" i="11"/>
  <c r="I17" i="11"/>
  <c r="M16" i="11"/>
  <c r="K16" i="11"/>
  <c r="I16" i="11"/>
  <c r="M15" i="11"/>
  <c r="K15" i="11"/>
  <c r="I15" i="11"/>
  <c r="M14" i="11"/>
  <c r="K14" i="11"/>
  <c r="I14" i="11"/>
  <c r="M13" i="11"/>
  <c r="K13" i="11"/>
  <c r="I13" i="11"/>
  <c r="M12" i="11"/>
  <c r="K12" i="11"/>
  <c r="I12" i="11"/>
  <c r="I11" i="11"/>
  <c r="I10" i="11"/>
  <c r="M9" i="11"/>
  <c r="K9" i="11"/>
  <c r="I9" i="11"/>
  <c r="M8" i="11"/>
  <c r="K8" i="11"/>
  <c r="I8" i="11"/>
  <c r="I7" i="11"/>
  <c r="M6" i="11"/>
  <c r="K6" i="11"/>
  <c r="I6" i="11"/>
  <c r="M5" i="11"/>
  <c r="K5" i="11"/>
  <c r="I5" i="11"/>
  <c r="M4" i="11"/>
  <c r="K4" i="11"/>
  <c r="I4" i="11"/>
  <c r="M3" i="11"/>
  <c r="K3" i="11"/>
  <c r="I3" i="11"/>
  <c r="I2" i="11"/>
  <c r="D52" i="10"/>
  <c r="B52" i="10"/>
  <c r="D51" i="10"/>
  <c r="B51" i="10"/>
  <c r="D50" i="10"/>
  <c r="B50" i="10"/>
  <c r="D49" i="10"/>
  <c r="B49" i="10"/>
  <c r="D48" i="10"/>
  <c r="B48" i="10"/>
  <c r="D47" i="10"/>
  <c r="B47" i="10"/>
  <c r="D46" i="10"/>
  <c r="B46" i="10"/>
  <c r="D45" i="10"/>
  <c r="B45" i="10"/>
  <c r="D44" i="10"/>
  <c r="B44" i="10"/>
  <c r="D43" i="10"/>
  <c r="B43" i="10"/>
  <c r="D42" i="10"/>
  <c r="B42" i="10"/>
  <c r="D41" i="10"/>
  <c r="B41" i="10"/>
  <c r="D40" i="10"/>
  <c r="B40" i="10"/>
  <c r="D39" i="10"/>
  <c r="B39" i="10"/>
  <c r="D38" i="10"/>
  <c r="B38" i="10"/>
  <c r="D37" i="10"/>
  <c r="B37" i="10"/>
  <c r="D36" i="10"/>
  <c r="B36" i="10"/>
  <c r="D35" i="10"/>
  <c r="B35" i="10"/>
  <c r="D34" i="10"/>
  <c r="B34" i="10"/>
  <c r="D33" i="10"/>
  <c r="B33" i="10"/>
  <c r="D32" i="10"/>
  <c r="B32" i="10"/>
  <c r="D31" i="10"/>
  <c r="B31" i="10"/>
  <c r="D30" i="10"/>
  <c r="B30" i="10"/>
  <c r="D29" i="10"/>
  <c r="B29" i="10"/>
  <c r="D28" i="10"/>
  <c r="B28" i="10"/>
  <c r="D27" i="10"/>
  <c r="B27" i="10"/>
  <c r="D26" i="10"/>
  <c r="B26" i="10"/>
  <c r="D25" i="10"/>
  <c r="B25" i="10"/>
  <c r="D24" i="10"/>
  <c r="B24" i="10"/>
  <c r="D23" i="10"/>
  <c r="B23" i="10"/>
  <c r="D22" i="10"/>
  <c r="B22" i="10"/>
  <c r="D21" i="10"/>
  <c r="B21" i="10"/>
  <c r="D20" i="10"/>
  <c r="B20" i="10"/>
  <c r="D19" i="10"/>
  <c r="B19" i="10"/>
  <c r="D18" i="10"/>
  <c r="B18" i="10"/>
  <c r="D17" i="10"/>
  <c r="B17" i="10"/>
  <c r="D16" i="10"/>
  <c r="B16" i="10"/>
  <c r="D15" i="10"/>
  <c r="B15" i="10"/>
  <c r="D14" i="10"/>
  <c r="B14" i="10"/>
  <c r="D13" i="10"/>
  <c r="B13" i="10"/>
  <c r="D12" i="10"/>
  <c r="B12" i="10"/>
  <c r="D11" i="10"/>
  <c r="B11" i="10"/>
  <c r="D10" i="10"/>
  <c r="B10" i="10"/>
  <c r="D9" i="10"/>
  <c r="B9" i="10"/>
  <c r="D8" i="10"/>
  <c r="B8" i="10"/>
  <c r="F7" i="10"/>
  <c r="D7" i="10"/>
  <c r="C7" i="10"/>
  <c r="B7" i="10"/>
  <c r="F6" i="10"/>
  <c r="D6" i="10"/>
  <c r="C6" i="10"/>
  <c r="B6" i="10"/>
  <c r="F5" i="10"/>
  <c r="D5" i="10"/>
  <c r="C5" i="10"/>
  <c r="B5" i="10"/>
  <c r="F4" i="10"/>
  <c r="D4" i="10"/>
  <c r="C4" i="10"/>
  <c r="B4" i="10"/>
  <c r="F3" i="10"/>
  <c r="D3" i="10"/>
  <c r="C3" i="10"/>
  <c r="B3" i="10"/>
  <c r="I2" i="10"/>
  <c r="F2" i="10"/>
  <c r="D2" i="10"/>
  <c r="C2" i="10"/>
  <c r="H2" i="10" s="1"/>
  <c r="B2" i="10"/>
  <c r="M116" i="9"/>
  <c r="O116" i="9" s="1"/>
  <c r="K116" i="9"/>
  <c r="I116" i="9"/>
  <c r="H116" i="9"/>
  <c r="O115" i="9"/>
  <c r="M115" i="9"/>
  <c r="K115" i="9"/>
  <c r="I115" i="9"/>
  <c r="H115" i="9"/>
  <c r="O114" i="9"/>
  <c r="M114" i="9"/>
  <c r="K114" i="9"/>
  <c r="I114" i="9"/>
  <c r="H114" i="9"/>
  <c r="M113" i="9"/>
  <c r="K113" i="9"/>
  <c r="I113" i="9"/>
  <c r="H113" i="9"/>
  <c r="M112" i="9"/>
  <c r="K112" i="9"/>
  <c r="I112" i="9"/>
  <c r="H112" i="9"/>
  <c r="M111" i="9"/>
  <c r="O111" i="9" s="1"/>
  <c r="K111" i="9"/>
  <c r="I111" i="9"/>
  <c r="H111" i="9"/>
  <c r="O110" i="9"/>
  <c r="M110" i="9"/>
  <c r="K110" i="9"/>
  <c r="I110" i="9"/>
  <c r="H110" i="9"/>
  <c r="M109" i="9"/>
  <c r="K109" i="9"/>
  <c r="I109" i="9"/>
  <c r="H109" i="9"/>
  <c r="M108" i="9"/>
  <c r="O108" i="9" s="1"/>
  <c r="K108" i="9"/>
  <c r="I108" i="9"/>
  <c r="H108" i="9"/>
  <c r="M107" i="9"/>
  <c r="K107" i="9"/>
  <c r="I107" i="9"/>
  <c r="H107" i="9"/>
  <c r="M106" i="9"/>
  <c r="K106" i="9"/>
  <c r="I106" i="9"/>
  <c r="H106" i="9"/>
  <c r="M105" i="9"/>
  <c r="O105" i="9" s="1"/>
  <c r="K105" i="9"/>
  <c r="I105" i="9"/>
  <c r="H105" i="9"/>
  <c r="O104" i="9"/>
  <c r="M104" i="9"/>
  <c r="K104" i="9"/>
  <c r="I104" i="9"/>
  <c r="H104" i="9"/>
  <c r="M103" i="9"/>
  <c r="O103" i="9" s="1"/>
  <c r="K103" i="9"/>
  <c r="I103" i="9"/>
  <c r="H103" i="9"/>
  <c r="M102" i="9"/>
  <c r="K102" i="9"/>
  <c r="I102" i="9"/>
  <c r="H102" i="9"/>
  <c r="M101" i="9"/>
  <c r="O101" i="9" s="1"/>
  <c r="K101" i="9"/>
  <c r="I101" i="9"/>
  <c r="H101" i="9"/>
  <c r="M100" i="9"/>
  <c r="O100" i="9" s="1"/>
  <c r="K100" i="9"/>
  <c r="I100" i="9"/>
  <c r="H100" i="9"/>
  <c r="M99" i="9"/>
  <c r="K99" i="9"/>
  <c r="I99" i="9"/>
  <c r="H99" i="9"/>
  <c r="M98" i="9"/>
  <c r="K98" i="9"/>
  <c r="I98" i="9"/>
  <c r="H98" i="9"/>
  <c r="M97" i="9"/>
  <c r="O97" i="9" s="1"/>
  <c r="K97" i="9"/>
  <c r="I97" i="9"/>
  <c r="H97" i="9"/>
  <c r="O96" i="9"/>
  <c r="M96" i="9"/>
  <c r="K96" i="9"/>
  <c r="I96" i="9"/>
  <c r="H96" i="9"/>
  <c r="M95" i="9"/>
  <c r="O95" i="9" s="1"/>
  <c r="K95" i="9"/>
  <c r="I95" i="9"/>
  <c r="H95" i="9"/>
  <c r="M94" i="9"/>
  <c r="K94" i="9"/>
  <c r="I94" i="9"/>
  <c r="H94" i="9"/>
  <c r="M93" i="9"/>
  <c r="K93" i="9"/>
  <c r="I93" i="9"/>
  <c r="H93" i="9"/>
  <c r="M92" i="9"/>
  <c r="O92" i="9" s="1"/>
  <c r="K92" i="9"/>
  <c r="I92" i="9"/>
  <c r="H92" i="9"/>
  <c r="M91" i="9"/>
  <c r="K91" i="9"/>
  <c r="I91" i="9"/>
  <c r="H91" i="9"/>
  <c r="M90" i="9"/>
  <c r="K90" i="9"/>
  <c r="I90" i="9"/>
  <c r="H90" i="9"/>
  <c r="M89" i="9"/>
  <c r="K89" i="9"/>
  <c r="I89" i="9"/>
  <c r="H89" i="9"/>
  <c r="O88" i="9"/>
  <c r="M88" i="9"/>
  <c r="K88" i="9"/>
  <c r="I88" i="9"/>
  <c r="H88" i="9"/>
  <c r="M87" i="9"/>
  <c r="O87" i="9" s="1"/>
  <c r="K87" i="9"/>
  <c r="I87" i="9"/>
  <c r="H87" i="9"/>
  <c r="O86" i="9"/>
  <c r="M86" i="9"/>
  <c r="K86" i="9"/>
  <c r="I86" i="9"/>
  <c r="H86" i="9"/>
  <c r="M85" i="9"/>
  <c r="O85" i="9" s="1"/>
  <c r="K85" i="9"/>
  <c r="I85" i="9"/>
  <c r="H85" i="9"/>
  <c r="O84" i="9"/>
  <c r="M84" i="9"/>
  <c r="K84" i="9"/>
  <c r="I84" i="9"/>
  <c r="H84" i="9"/>
  <c r="M83" i="9"/>
  <c r="O83" i="9" s="1"/>
  <c r="K83" i="9"/>
  <c r="I83" i="9"/>
  <c r="H83" i="9"/>
  <c r="M82" i="9"/>
  <c r="K82" i="9"/>
  <c r="I82" i="9"/>
  <c r="H82" i="9"/>
  <c r="M81" i="9"/>
  <c r="O81" i="9" s="1"/>
  <c r="K81" i="9"/>
  <c r="I81" i="9"/>
  <c r="H81" i="9"/>
  <c r="O80" i="9"/>
  <c r="M80" i="9"/>
  <c r="K80" i="9"/>
  <c r="I80" i="9"/>
  <c r="H80" i="9"/>
  <c r="M79" i="9"/>
  <c r="O79" i="9" s="1"/>
  <c r="K79" i="9"/>
  <c r="I79" i="9"/>
  <c r="H79" i="9"/>
  <c r="M78" i="9"/>
  <c r="K78" i="9"/>
  <c r="I78" i="9"/>
  <c r="H78" i="9"/>
  <c r="M77" i="9"/>
  <c r="O77" i="9" s="1"/>
  <c r="K77" i="9"/>
  <c r="I77" i="9"/>
  <c r="H77" i="9"/>
  <c r="M76" i="9"/>
  <c r="K76" i="9"/>
  <c r="I76" i="9"/>
  <c r="H76" i="9"/>
  <c r="M75" i="9"/>
  <c r="O75" i="9" s="1"/>
  <c r="K75" i="9"/>
  <c r="H75" i="9"/>
  <c r="M74" i="9"/>
  <c r="O74" i="9" s="1"/>
  <c r="K74" i="9"/>
  <c r="I74" i="9"/>
  <c r="H74" i="9"/>
  <c r="O73" i="9"/>
  <c r="M73" i="9"/>
  <c r="K73" i="9"/>
  <c r="I73" i="9"/>
  <c r="H73" i="9"/>
  <c r="M72" i="9"/>
  <c r="O72" i="9" s="1"/>
  <c r="K72" i="9"/>
  <c r="I72" i="9"/>
  <c r="H72" i="9"/>
  <c r="M71" i="9"/>
  <c r="K71" i="9"/>
  <c r="I71" i="9"/>
  <c r="H71" i="9"/>
  <c r="M70" i="9"/>
  <c r="O70" i="9" s="1"/>
  <c r="K70" i="9"/>
  <c r="I70" i="9"/>
  <c r="H70" i="9"/>
  <c r="O69" i="9"/>
  <c r="M69" i="9"/>
  <c r="K69" i="9"/>
  <c r="I69" i="9"/>
  <c r="H69" i="9"/>
  <c r="M68" i="9"/>
  <c r="O68" i="9" s="1"/>
  <c r="K68" i="9"/>
  <c r="I68" i="9"/>
  <c r="H68" i="9"/>
  <c r="M67" i="9"/>
  <c r="K67" i="9"/>
  <c r="I67" i="9"/>
  <c r="H67" i="9"/>
  <c r="M66" i="9"/>
  <c r="O66" i="9" s="1"/>
  <c r="K66" i="9"/>
  <c r="I66" i="9"/>
  <c r="H66" i="9"/>
  <c r="O65" i="9"/>
  <c r="M65" i="9"/>
  <c r="K65" i="9"/>
  <c r="I65" i="9"/>
  <c r="H65" i="9"/>
  <c r="M64" i="9"/>
  <c r="O64" i="9" s="1"/>
  <c r="K64" i="9"/>
  <c r="I64" i="9"/>
  <c r="H64" i="9"/>
  <c r="M63" i="9"/>
  <c r="K63" i="9"/>
  <c r="I63" i="9"/>
  <c r="H63" i="9"/>
  <c r="M62" i="9"/>
  <c r="O62" i="9" s="1"/>
  <c r="K62" i="9"/>
  <c r="I62" i="9"/>
  <c r="H62" i="9"/>
  <c r="O61" i="9"/>
  <c r="M61" i="9"/>
  <c r="K61" i="9"/>
  <c r="I61" i="9"/>
  <c r="H61" i="9"/>
  <c r="M60" i="9"/>
  <c r="O60" i="9" s="1"/>
  <c r="K60" i="9"/>
  <c r="I60" i="9"/>
  <c r="H60" i="9"/>
  <c r="O59" i="9"/>
  <c r="M59" i="9"/>
  <c r="K59" i="9"/>
  <c r="I59" i="9"/>
  <c r="H59" i="9"/>
  <c r="M58" i="9"/>
  <c r="O58" i="9" s="1"/>
  <c r="K58" i="9"/>
  <c r="I58" i="9"/>
  <c r="H58" i="9"/>
  <c r="O57" i="9"/>
  <c r="M57" i="9"/>
  <c r="K57" i="9"/>
  <c r="I57" i="9"/>
  <c r="H57" i="9"/>
  <c r="M56" i="9"/>
  <c r="O56" i="9" s="1"/>
  <c r="K56" i="9"/>
  <c r="I56" i="9"/>
  <c r="H56" i="9"/>
  <c r="O55" i="9"/>
  <c r="M55" i="9"/>
  <c r="K55" i="9"/>
  <c r="I55" i="9"/>
  <c r="H55" i="9"/>
  <c r="M54" i="9"/>
  <c r="O54" i="9" s="1"/>
  <c r="K54" i="9"/>
  <c r="I54" i="9"/>
  <c r="H54" i="9"/>
  <c r="O53" i="9"/>
  <c r="M53" i="9"/>
  <c r="K53" i="9"/>
  <c r="I53" i="9"/>
  <c r="H53" i="9"/>
  <c r="M52" i="9"/>
  <c r="O52" i="9" s="1"/>
  <c r="K52" i="9"/>
  <c r="I52" i="9"/>
  <c r="H52" i="9"/>
  <c r="M51" i="9"/>
  <c r="K51" i="9"/>
  <c r="I51" i="9"/>
  <c r="H51" i="9"/>
  <c r="M50" i="9"/>
  <c r="O50" i="9" s="1"/>
  <c r="K50" i="9"/>
  <c r="I50" i="9"/>
  <c r="H50" i="9"/>
  <c r="O49" i="9"/>
  <c r="M49" i="9"/>
  <c r="K49" i="9"/>
  <c r="I49" i="9"/>
  <c r="H49" i="9"/>
  <c r="M48" i="9"/>
  <c r="O48" i="9" s="1"/>
  <c r="K48" i="9"/>
  <c r="I48" i="9"/>
  <c r="H48" i="9"/>
  <c r="O47" i="9"/>
  <c r="M47" i="9"/>
  <c r="K47" i="9"/>
  <c r="I47" i="9"/>
  <c r="H47" i="9"/>
  <c r="M46" i="9"/>
  <c r="O46" i="9" s="1"/>
  <c r="K46" i="9"/>
  <c r="I46" i="9"/>
  <c r="H46" i="9"/>
  <c r="O45" i="9"/>
  <c r="M45" i="9"/>
  <c r="K45" i="9"/>
  <c r="I45" i="9"/>
  <c r="H45" i="9"/>
  <c r="M44" i="9"/>
  <c r="O44" i="9" s="1"/>
  <c r="K44" i="9"/>
  <c r="I44" i="9"/>
  <c r="H44" i="9"/>
  <c r="M43" i="9"/>
  <c r="K43" i="9"/>
  <c r="I43" i="9"/>
  <c r="H43" i="9"/>
  <c r="M42" i="9"/>
  <c r="O42" i="9" s="1"/>
  <c r="K42" i="9"/>
  <c r="I42" i="9"/>
  <c r="H42" i="9"/>
  <c r="O41" i="9"/>
  <c r="M41" i="9"/>
  <c r="K41" i="9"/>
  <c r="I41" i="9"/>
  <c r="H41" i="9"/>
  <c r="M40" i="9"/>
  <c r="O40" i="9" s="1"/>
  <c r="K40" i="9"/>
  <c r="I40" i="9"/>
  <c r="H40" i="9"/>
  <c r="M39" i="9"/>
  <c r="K39" i="9"/>
  <c r="I39" i="9"/>
  <c r="H39" i="9"/>
  <c r="M38" i="9"/>
  <c r="O38" i="9" s="1"/>
  <c r="K38" i="9"/>
  <c r="I38" i="9"/>
  <c r="H38" i="9"/>
  <c r="O37" i="9"/>
  <c r="M37" i="9"/>
  <c r="K37" i="9"/>
  <c r="I37" i="9"/>
  <c r="H37" i="9"/>
  <c r="M36" i="9"/>
  <c r="O36" i="9" s="1"/>
  <c r="K36" i="9"/>
  <c r="I36" i="9"/>
  <c r="H36" i="9"/>
  <c r="M35" i="9"/>
  <c r="K35" i="9"/>
  <c r="I35" i="9"/>
  <c r="H35" i="9"/>
  <c r="M34" i="9"/>
  <c r="O34" i="9" s="1"/>
  <c r="K34" i="9"/>
  <c r="I34" i="9"/>
  <c r="H34" i="9"/>
  <c r="O33" i="9"/>
  <c r="M33" i="9"/>
  <c r="K33" i="9"/>
  <c r="I33" i="9"/>
  <c r="H33" i="9"/>
  <c r="M32" i="9"/>
  <c r="O32" i="9" s="1"/>
  <c r="K32" i="9"/>
  <c r="I32" i="9"/>
  <c r="H32" i="9"/>
  <c r="M31" i="9"/>
  <c r="K31" i="9"/>
  <c r="I31" i="9"/>
  <c r="H31" i="9"/>
  <c r="M30" i="9"/>
  <c r="O30" i="9" s="1"/>
  <c r="K30" i="9"/>
  <c r="I30" i="9"/>
  <c r="H30" i="9"/>
  <c r="O29" i="9"/>
  <c r="M29" i="9"/>
  <c r="K29" i="9"/>
  <c r="I29" i="9"/>
  <c r="H29" i="9"/>
  <c r="M28" i="9"/>
  <c r="O28" i="9" s="1"/>
  <c r="K28" i="9"/>
  <c r="I28" i="9"/>
  <c r="H28" i="9"/>
  <c r="M27" i="9"/>
  <c r="K27" i="9"/>
  <c r="I27" i="9"/>
  <c r="H27" i="9"/>
  <c r="M26" i="9"/>
  <c r="O26" i="9" s="1"/>
  <c r="K26" i="9"/>
  <c r="I26" i="9"/>
  <c r="H26" i="9"/>
  <c r="O25" i="9"/>
  <c r="M25" i="9"/>
  <c r="K25" i="9"/>
  <c r="I25" i="9"/>
  <c r="H25" i="9"/>
  <c r="M24" i="9"/>
  <c r="O24" i="9" s="1"/>
  <c r="K24" i="9"/>
  <c r="I24" i="9"/>
  <c r="H24" i="9"/>
  <c r="M23" i="9"/>
  <c r="K23" i="9"/>
  <c r="I23" i="9"/>
  <c r="H23" i="9"/>
  <c r="M22" i="9"/>
  <c r="O22" i="9" s="1"/>
  <c r="K22" i="9"/>
  <c r="I22" i="9"/>
  <c r="H22" i="9"/>
  <c r="O21" i="9"/>
  <c r="M21" i="9"/>
  <c r="K21" i="9"/>
  <c r="I21" i="9"/>
  <c r="H21" i="9"/>
  <c r="M20" i="9"/>
  <c r="O20" i="9" s="1"/>
  <c r="K20" i="9"/>
  <c r="I20" i="9"/>
  <c r="H20" i="9"/>
  <c r="M19" i="9"/>
  <c r="K19" i="9"/>
  <c r="I19" i="9"/>
  <c r="H19" i="9"/>
  <c r="M18" i="9"/>
  <c r="O18" i="9" s="1"/>
  <c r="K18" i="9"/>
  <c r="I18" i="9"/>
  <c r="H18" i="9"/>
  <c r="O17" i="9"/>
  <c r="M17" i="9"/>
  <c r="K17" i="9"/>
  <c r="I17" i="9"/>
  <c r="H17" i="9"/>
  <c r="M16" i="9"/>
  <c r="O16" i="9" s="1"/>
  <c r="K16" i="9"/>
  <c r="I16" i="9"/>
  <c r="H16" i="9"/>
  <c r="O15" i="9"/>
  <c r="M15" i="9"/>
  <c r="K15" i="9"/>
  <c r="I15" i="9"/>
  <c r="H15" i="9"/>
  <c r="M14" i="9"/>
  <c r="O14" i="9" s="1"/>
  <c r="K14" i="9"/>
  <c r="I14" i="9"/>
  <c r="H14" i="9"/>
  <c r="O13" i="9"/>
  <c r="M13" i="9"/>
  <c r="K13" i="9"/>
  <c r="I13" i="9"/>
  <c r="H13" i="9"/>
  <c r="M12" i="9"/>
  <c r="O12" i="9" s="1"/>
  <c r="K12" i="9"/>
  <c r="I12" i="9"/>
  <c r="H12" i="9"/>
  <c r="M11" i="9"/>
  <c r="K11" i="9"/>
  <c r="I11" i="9"/>
  <c r="H11" i="9"/>
  <c r="M10" i="9"/>
  <c r="O10" i="9" s="1"/>
  <c r="K10" i="9"/>
  <c r="I10" i="9"/>
  <c r="H10" i="9"/>
  <c r="O9" i="9"/>
  <c r="M9" i="9"/>
  <c r="K9" i="9"/>
  <c r="I9" i="9"/>
  <c r="H9" i="9"/>
  <c r="M8" i="9"/>
  <c r="O8" i="9" s="1"/>
  <c r="K8" i="9"/>
  <c r="I8" i="9"/>
  <c r="H8" i="9"/>
  <c r="M7" i="9"/>
  <c r="K7" i="9"/>
  <c r="I7" i="9"/>
  <c r="H7" i="9"/>
  <c r="M6" i="9"/>
  <c r="O6" i="9" s="1"/>
  <c r="K6" i="9"/>
  <c r="I6" i="9"/>
  <c r="H6" i="9"/>
  <c r="O5" i="9"/>
  <c r="M5" i="9"/>
  <c r="K5" i="9"/>
  <c r="I5" i="9"/>
  <c r="H5" i="9"/>
  <c r="M4" i="9"/>
  <c r="O4" i="9" s="1"/>
  <c r="K4" i="9"/>
  <c r="H4" i="9"/>
  <c r="M3" i="9"/>
  <c r="O3" i="9" s="1"/>
  <c r="K3" i="9"/>
  <c r="I3" i="9"/>
  <c r="H3" i="9"/>
  <c r="O2" i="9"/>
  <c r="M2" i="9"/>
  <c r="O106" i="9" s="1"/>
  <c r="K2" i="9"/>
  <c r="I2" i="9"/>
  <c r="H2" i="9"/>
  <c r="O118" i="8"/>
  <c r="Q118" i="8" s="1"/>
  <c r="M118" i="8"/>
  <c r="K118" i="8"/>
  <c r="O117" i="8"/>
  <c r="Q117" i="8" s="1"/>
  <c r="M117" i="8"/>
  <c r="K117" i="8"/>
  <c r="O116" i="8"/>
  <c r="Q116" i="8" s="1"/>
  <c r="M116" i="8"/>
  <c r="K116" i="8"/>
  <c r="O115" i="8"/>
  <c r="Q115" i="8" s="1"/>
  <c r="M115" i="8"/>
  <c r="K115" i="8"/>
  <c r="O114" i="8"/>
  <c r="Q114" i="8" s="1"/>
  <c r="M114" i="8"/>
  <c r="K114" i="8"/>
  <c r="O113" i="8"/>
  <c r="Q113" i="8" s="1"/>
  <c r="M113" i="8"/>
  <c r="K113" i="8"/>
  <c r="O112" i="8"/>
  <c r="Q112" i="8" s="1"/>
  <c r="M112" i="8"/>
  <c r="K112" i="8"/>
  <c r="O111" i="8"/>
  <c r="Q111" i="8" s="1"/>
  <c r="M111" i="8"/>
  <c r="K111" i="8"/>
  <c r="O110" i="8"/>
  <c r="Q110" i="8" s="1"/>
  <c r="M110" i="8"/>
  <c r="K110" i="8"/>
  <c r="O109" i="8"/>
  <c r="Q109" i="8" s="1"/>
  <c r="M109" i="8"/>
  <c r="K109" i="8"/>
  <c r="O108" i="8"/>
  <c r="Q108" i="8" s="1"/>
  <c r="M108" i="8"/>
  <c r="K108" i="8"/>
  <c r="O107" i="8"/>
  <c r="Q107" i="8" s="1"/>
  <c r="M107" i="8"/>
  <c r="K107" i="8"/>
  <c r="O106" i="8"/>
  <c r="Q106" i="8" s="1"/>
  <c r="M106" i="8"/>
  <c r="K106" i="8"/>
  <c r="O105" i="8"/>
  <c r="Q105" i="8" s="1"/>
  <c r="M105" i="8"/>
  <c r="K105" i="8"/>
  <c r="O104" i="8"/>
  <c r="Q104" i="8" s="1"/>
  <c r="M104" i="8"/>
  <c r="K104" i="8"/>
  <c r="O103" i="8"/>
  <c r="Q103" i="8" s="1"/>
  <c r="M103" i="8"/>
  <c r="K103" i="8"/>
  <c r="O102" i="8"/>
  <c r="Q102" i="8" s="1"/>
  <c r="M102" i="8"/>
  <c r="K102" i="8"/>
  <c r="O101" i="8"/>
  <c r="Q101" i="8" s="1"/>
  <c r="M101" i="8"/>
  <c r="K101" i="8"/>
  <c r="O100" i="8"/>
  <c r="Q100" i="8" s="1"/>
  <c r="M100" i="8"/>
  <c r="K100" i="8"/>
  <c r="O99" i="8"/>
  <c r="Q99" i="8" s="1"/>
  <c r="M99" i="8"/>
  <c r="K99" i="8"/>
  <c r="O98" i="8"/>
  <c r="Q98" i="8" s="1"/>
  <c r="M98" i="8"/>
  <c r="K98" i="8"/>
  <c r="O97" i="8"/>
  <c r="Q97" i="8" s="1"/>
  <c r="M97" i="8"/>
  <c r="K97" i="8"/>
  <c r="O96" i="8"/>
  <c r="Q96" i="8" s="1"/>
  <c r="M96" i="8"/>
  <c r="K96" i="8"/>
  <c r="K95" i="8"/>
  <c r="O94" i="8"/>
  <c r="M94" i="8"/>
  <c r="K94" i="8"/>
  <c r="O93" i="8"/>
  <c r="M93" i="8"/>
  <c r="K93" i="8"/>
  <c r="O92" i="8"/>
  <c r="M92" i="8"/>
  <c r="K92" i="8"/>
  <c r="O91" i="8"/>
  <c r="M91" i="8"/>
  <c r="K91" i="8"/>
  <c r="O90" i="8"/>
  <c r="M90" i="8"/>
  <c r="K90" i="8"/>
  <c r="Q89" i="8"/>
  <c r="O89" i="8"/>
  <c r="M89" i="8"/>
  <c r="K89" i="8"/>
  <c r="Q88" i="8"/>
  <c r="O88" i="8"/>
  <c r="M88" i="8"/>
  <c r="K88" i="8"/>
  <c r="Q87" i="8"/>
  <c r="O87" i="8"/>
  <c r="M87" i="8"/>
  <c r="K87" i="8"/>
  <c r="Q86" i="8"/>
  <c r="O86" i="8"/>
  <c r="M86" i="8"/>
  <c r="K86" i="8"/>
  <c r="Q85" i="8"/>
  <c r="O85" i="8"/>
  <c r="M85" i="8"/>
  <c r="K85" i="8"/>
  <c r="O84" i="8"/>
  <c r="M84" i="8"/>
  <c r="K84" i="8"/>
  <c r="O83" i="8"/>
  <c r="M83" i="8"/>
  <c r="K83" i="8"/>
  <c r="Q82" i="8"/>
  <c r="O82" i="8"/>
  <c r="M82" i="8"/>
  <c r="K82" i="8"/>
  <c r="Q81" i="8"/>
  <c r="O81" i="8"/>
  <c r="M81" i="8"/>
  <c r="K81" i="8"/>
  <c r="O80" i="8"/>
  <c r="M80" i="8"/>
  <c r="K80" i="8"/>
  <c r="O79" i="8"/>
  <c r="M79" i="8"/>
  <c r="K79" i="8"/>
  <c r="Q78" i="8"/>
  <c r="O78" i="8"/>
  <c r="M78" i="8"/>
  <c r="K78" i="8"/>
  <c r="O77" i="8"/>
  <c r="M77" i="8"/>
  <c r="K77" i="8"/>
  <c r="O76" i="8"/>
  <c r="M76" i="8"/>
  <c r="K76" i="8"/>
  <c r="Q75" i="8"/>
  <c r="O75" i="8"/>
  <c r="M75" i="8"/>
  <c r="K75" i="8"/>
  <c r="Q74" i="8"/>
  <c r="O74" i="8"/>
  <c r="M74" i="8"/>
  <c r="K74" i="8"/>
  <c r="O73" i="8"/>
  <c r="M73" i="8"/>
  <c r="K73" i="8"/>
  <c r="O72" i="8"/>
  <c r="M72" i="8"/>
  <c r="K72" i="8"/>
  <c r="O71" i="8"/>
  <c r="M71" i="8"/>
  <c r="K71" i="8"/>
  <c r="O70" i="8"/>
  <c r="M70" i="8"/>
  <c r="K70" i="8"/>
  <c r="O69" i="8"/>
  <c r="M69" i="8"/>
  <c r="K69" i="8"/>
  <c r="O68" i="8"/>
  <c r="M68" i="8"/>
  <c r="K68" i="8"/>
  <c r="O67" i="8"/>
  <c r="M67" i="8"/>
  <c r="K67" i="8"/>
  <c r="Q66" i="8"/>
  <c r="O66" i="8"/>
  <c r="M66" i="8"/>
  <c r="K66" i="8"/>
  <c r="O65" i="8"/>
  <c r="M65" i="8"/>
  <c r="K65" i="8"/>
  <c r="O64" i="8"/>
  <c r="M64" i="8"/>
  <c r="K64" i="8"/>
  <c r="O63" i="8"/>
  <c r="M63" i="8"/>
  <c r="K63" i="8"/>
  <c r="O62" i="8"/>
  <c r="M62" i="8"/>
  <c r="K62" i="8"/>
  <c r="O61" i="8"/>
  <c r="M61" i="8"/>
  <c r="K61" i="8"/>
  <c r="Q60" i="8"/>
  <c r="O60" i="8"/>
  <c r="M60" i="8"/>
  <c r="K60" i="8"/>
  <c r="O59" i="8"/>
  <c r="M59" i="8"/>
  <c r="K59" i="8"/>
  <c r="O58" i="8"/>
  <c r="M58" i="8"/>
  <c r="K58" i="8"/>
  <c r="Q57" i="8"/>
  <c r="O57" i="8"/>
  <c r="M57" i="8"/>
  <c r="K57" i="8"/>
  <c r="Q56" i="8"/>
  <c r="O56" i="8"/>
  <c r="M56" i="8"/>
  <c r="K56" i="8"/>
  <c r="O55" i="8"/>
  <c r="M55" i="8"/>
  <c r="K55" i="8"/>
  <c r="O54" i="8"/>
  <c r="M54" i="8"/>
  <c r="K54" i="8"/>
  <c r="O53" i="8"/>
  <c r="M53" i="8"/>
  <c r="K53" i="8"/>
  <c r="O52" i="8"/>
  <c r="M52" i="8"/>
  <c r="K52" i="8"/>
  <c r="O51" i="8"/>
  <c r="M51" i="8"/>
  <c r="K51" i="8"/>
  <c r="O50" i="8"/>
  <c r="M50" i="8"/>
  <c r="K50" i="8"/>
  <c r="Q49" i="8"/>
  <c r="O49" i="8"/>
  <c r="M49" i="8"/>
  <c r="K49" i="8"/>
  <c r="Q48" i="8"/>
  <c r="O48" i="8"/>
  <c r="M48" i="8"/>
  <c r="K48" i="8"/>
  <c r="Q47" i="8"/>
  <c r="O47" i="8"/>
  <c r="M47" i="8"/>
  <c r="K47" i="8"/>
  <c r="Q46" i="8"/>
  <c r="O46" i="8"/>
  <c r="M46" i="8"/>
  <c r="K46" i="8"/>
  <c r="Q45" i="8"/>
  <c r="O45" i="8"/>
  <c r="M45" i="8"/>
  <c r="K45" i="8"/>
  <c r="O44" i="8"/>
  <c r="M44" i="8"/>
  <c r="K44" i="8"/>
  <c r="O43" i="8"/>
  <c r="M43" i="8"/>
  <c r="K43" i="8"/>
  <c r="Q42" i="8"/>
  <c r="O42" i="8"/>
  <c r="M42" i="8"/>
  <c r="K42" i="8"/>
  <c r="O41" i="8"/>
  <c r="M41" i="8"/>
  <c r="K41" i="8"/>
  <c r="O40" i="8"/>
  <c r="M40" i="8"/>
  <c r="K40" i="8"/>
  <c r="O39" i="8"/>
  <c r="M39" i="8"/>
  <c r="K39" i="8"/>
  <c r="O38" i="8"/>
  <c r="M38" i="8"/>
  <c r="K38" i="8"/>
  <c r="Q37" i="8"/>
  <c r="O37" i="8"/>
  <c r="M37" i="8"/>
  <c r="K37" i="8"/>
  <c r="O36" i="8"/>
  <c r="M36" i="8"/>
  <c r="K36" i="8"/>
  <c r="O35" i="8"/>
  <c r="M35" i="8"/>
  <c r="K35" i="8"/>
  <c r="Q34" i="8"/>
  <c r="O34" i="8"/>
  <c r="M34" i="8"/>
  <c r="K34" i="8"/>
  <c r="O33" i="8"/>
  <c r="M33" i="8"/>
  <c r="K33" i="8"/>
  <c r="O32" i="8"/>
  <c r="M32" i="8"/>
  <c r="K32" i="8"/>
  <c r="O31" i="8"/>
  <c r="M31" i="8"/>
  <c r="K31" i="8"/>
  <c r="O30" i="8"/>
  <c r="M30" i="8"/>
  <c r="K30" i="8"/>
  <c r="Q29" i="8"/>
  <c r="O29" i="8"/>
  <c r="M29" i="8"/>
  <c r="K29" i="8"/>
  <c r="O28" i="8"/>
  <c r="M28" i="8"/>
  <c r="K28" i="8"/>
  <c r="Q27" i="8"/>
  <c r="O27" i="8"/>
  <c r="M27" i="8"/>
  <c r="K27" i="8"/>
  <c r="O26" i="8"/>
  <c r="M26" i="8"/>
  <c r="K26" i="8"/>
  <c r="O25" i="8"/>
  <c r="M25" i="8"/>
  <c r="K25" i="8"/>
  <c r="O24" i="8"/>
  <c r="M24" i="8"/>
  <c r="K24" i="8"/>
  <c r="Q23" i="8"/>
  <c r="O23" i="8"/>
  <c r="M23" i="8"/>
  <c r="K23" i="8"/>
  <c r="K22" i="8"/>
  <c r="O21" i="8"/>
  <c r="Q21" i="8" s="1"/>
  <c r="M21" i="8"/>
  <c r="K21" i="8"/>
  <c r="O20" i="8"/>
  <c r="Q20" i="8" s="1"/>
  <c r="M20" i="8"/>
  <c r="K20" i="8"/>
  <c r="O19" i="8"/>
  <c r="Q19" i="8" s="1"/>
  <c r="M19" i="8"/>
  <c r="K19" i="8"/>
  <c r="O18" i="8"/>
  <c r="Q18" i="8" s="1"/>
  <c r="M18" i="8"/>
  <c r="K18" i="8"/>
  <c r="O17" i="8"/>
  <c r="Q17" i="8" s="1"/>
  <c r="M17" i="8"/>
  <c r="K17" i="8"/>
  <c r="O16" i="8"/>
  <c r="Q16" i="8" s="1"/>
  <c r="M16" i="8"/>
  <c r="K16" i="8"/>
  <c r="O15" i="8"/>
  <c r="Q15" i="8" s="1"/>
  <c r="M15" i="8"/>
  <c r="K15" i="8"/>
  <c r="O14" i="8"/>
  <c r="Q14" i="8" s="1"/>
  <c r="M14" i="8"/>
  <c r="K14" i="8"/>
  <c r="O13" i="8"/>
  <c r="Q13" i="8" s="1"/>
  <c r="M13" i="8"/>
  <c r="K13" i="8"/>
  <c r="O12" i="8"/>
  <c r="Q12" i="8" s="1"/>
  <c r="M12" i="8"/>
  <c r="K12" i="8"/>
  <c r="O11" i="8"/>
  <c r="Q11" i="8" s="1"/>
  <c r="M11" i="8"/>
  <c r="K11" i="8"/>
  <c r="O10" i="8"/>
  <c r="Q10" i="8" s="1"/>
  <c r="M10" i="8"/>
  <c r="K10" i="8"/>
  <c r="O9" i="8"/>
  <c r="Q9" i="8" s="1"/>
  <c r="M9" i="8"/>
  <c r="K9" i="8"/>
  <c r="O8" i="8"/>
  <c r="Q8" i="8" s="1"/>
  <c r="M8" i="8"/>
  <c r="K8" i="8"/>
  <c r="O7" i="8"/>
  <c r="Q7" i="8" s="1"/>
  <c r="M7" i="8"/>
  <c r="K7" i="8"/>
  <c r="O6" i="8"/>
  <c r="Q6" i="8" s="1"/>
  <c r="M6" i="8"/>
  <c r="K6" i="8"/>
  <c r="O5" i="8"/>
  <c r="Q5" i="8" s="1"/>
  <c r="M5" i="8"/>
  <c r="K5" i="8"/>
  <c r="O4" i="8"/>
  <c r="Q4" i="8" s="1"/>
  <c r="M4" i="8"/>
  <c r="K4" i="8"/>
  <c r="O3" i="8"/>
  <c r="Q3" i="8" s="1"/>
  <c r="M3" i="8"/>
  <c r="K3" i="8"/>
  <c r="O2" i="8"/>
  <c r="Q2" i="8" s="1"/>
  <c r="M2" i="8"/>
  <c r="K2" i="8"/>
  <c r="S121" i="7"/>
  <c r="R121" i="7"/>
  <c r="P121" i="7"/>
  <c r="O121" i="7"/>
  <c r="M121" i="7"/>
  <c r="L121" i="7"/>
  <c r="K121" i="7"/>
  <c r="J121" i="7"/>
  <c r="I121" i="7"/>
  <c r="H121" i="7"/>
  <c r="G121" i="7"/>
  <c r="F121" i="7"/>
  <c r="B121" i="7"/>
  <c r="A121" i="7"/>
  <c r="S120" i="7"/>
  <c r="R120" i="7"/>
  <c r="P120" i="7"/>
  <c r="O120" i="7"/>
  <c r="M120" i="7"/>
  <c r="L120" i="7"/>
  <c r="K120" i="7"/>
  <c r="J120" i="7"/>
  <c r="I120" i="7"/>
  <c r="H120" i="7"/>
  <c r="G120" i="7"/>
  <c r="F120" i="7"/>
  <c r="E120" i="7"/>
  <c r="D120" i="7"/>
  <c r="B120" i="7"/>
  <c r="A120" i="7"/>
  <c r="S119" i="7"/>
  <c r="A119" i="7"/>
  <c r="S118" i="7"/>
  <c r="R118" i="7"/>
  <c r="O118" i="7"/>
  <c r="M118" i="7"/>
  <c r="L118" i="7"/>
  <c r="I118" i="7"/>
  <c r="H118" i="7"/>
  <c r="F118" i="7"/>
  <c r="B118" i="7"/>
  <c r="A118" i="7"/>
  <c r="S117" i="7"/>
  <c r="R117" i="7"/>
  <c r="O117" i="7"/>
  <c r="M117" i="7"/>
  <c r="L117" i="7"/>
  <c r="I117" i="7"/>
  <c r="H117" i="7"/>
  <c r="F117" i="7"/>
  <c r="B117" i="7"/>
  <c r="A117" i="7"/>
  <c r="S116" i="7"/>
  <c r="R116" i="7"/>
  <c r="P116" i="7"/>
  <c r="O116" i="7"/>
  <c r="M116" i="7"/>
  <c r="L116" i="7"/>
  <c r="K116" i="7"/>
  <c r="J116" i="7"/>
  <c r="I116" i="7"/>
  <c r="H116" i="7"/>
  <c r="G116" i="7"/>
  <c r="B116" i="7"/>
  <c r="A116" i="7"/>
  <c r="S115" i="7"/>
  <c r="R115" i="7"/>
  <c r="O115" i="7"/>
  <c r="M115" i="7"/>
  <c r="L115" i="7"/>
  <c r="I115" i="7"/>
  <c r="H115" i="7"/>
  <c r="F115" i="7"/>
  <c r="B115" i="7"/>
  <c r="A115" i="7"/>
  <c r="S114" i="7"/>
  <c r="R114" i="7"/>
  <c r="P114" i="7"/>
  <c r="O114" i="7"/>
  <c r="M114" i="7"/>
  <c r="L114" i="7"/>
  <c r="K114" i="7"/>
  <c r="J114" i="7"/>
  <c r="I114" i="7"/>
  <c r="H114" i="7"/>
  <c r="G114" i="7"/>
  <c r="F114" i="7"/>
  <c r="B114" i="7"/>
  <c r="A114" i="7"/>
  <c r="S113" i="7"/>
  <c r="R113" i="7"/>
  <c r="P113" i="7"/>
  <c r="O113" i="7"/>
  <c r="M113" i="7"/>
  <c r="L113" i="7"/>
  <c r="K113" i="7"/>
  <c r="J113" i="7"/>
  <c r="I113" i="7"/>
  <c r="H113" i="7"/>
  <c r="G113" i="7"/>
  <c r="F113" i="7"/>
  <c r="E113" i="7"/>
  <c r="D113" i="7"/>
  <c r="C113" i="7"/>
  <c r="B113" i="7"/>
  <c r="A113" i="7"/>
  <c r="S112" i="7"/>
  <c r="A112" i="7"/>
  <c r="S111" i="7"/>
  <c r="R111" i="7"/>
  <c r="P111" i="7"/>
  <c r="O111" i="7"/>
  <c r="M111" i="7"/>
  <c r="L111" i="7"/>
  <c r="K111" i="7"/>
  <c r="J111" i="7"/>
  <c r="I111" i="7"/>
  <c r="H111" i="7"/>
  <c r="G111" i="7"/>
  <c r="F111" i="7"/>
  <c r="E111" i="7"/>
  <c r="D111" i="7"/>
  <c r="C111" i="7"/>
  <c r="B111" i="7"/>
  <c r="A111" i="7"/>
  <c r="S110" i="7"/>
  <c r="A110" i="7"/>
  <c r="S109" i="7"/>
  <c r="R109" i="7"/>
  <c r="P109" i="7"/>
  <c r="O109" i="7"/>
  <c r="M109" i="7"/>
  <c r="L109" i="7"/>
  <c r="K109" i="7"/>
  <c r="J109" i="7"/>
  <c r="I109" i="7"/>
  <c r="H109" i="7"/>
  <c r="G109" i="7"/>
  <c r="F109" i="7"/>
  <c r="E109" i="7"/>
  <c r="D109" i="7"/>
  <c r="C109" i="7"/>
  <c r="B109" i="7"/>
  <c r="A109" i="7"/>
  <c r="S108" i="7"/>
  <c r="R108" i="7"/>
  <c r="O108" i="7"/>
  <c r="M108" i="7"/>
  <c r="L108" i="7"/>
  <c r="I108" i="7"/>
  <c r="H108" i="7"/>
  <c r="F108" i="7"/>
  <c r="C108" i="7"/>
  <c r="B108" i="7"/>
  <c r="A108" i="7"/>
  <c r="S107" i="7"/>
  <c r="R107" i="7"/>
  <c r="O107" i="7"/>
  <c r="M107" i="7"/>
  <c r="L107" i="7"/>
  <c r="I107" i="7"/>
  <c r="H107" i="7"/>
  <c r="F107" i="7"/>
  <c r="B107" i="7"/>
  <c r="A107" i="7"/>
  <c r="S106" i="7"/>
  <c r="G106" i="7"/>
  <c r="B106" i="7"/>
  <c r="A106" i="7"/>
  <c r="S105" i="7"/>
  <c r="R105" i="7"/>
  <c r="P105" i="7"/>
  <c r="O105" i="7"/>
  <c r="M105" i="7"/>
  <c r="L105" i="7"/>
  <c r="K105" i="7"/>
  <c r="J105" i="7"/>
  <c r="I105" i="7"/>
  <c r="H105" i="7"/>
  <c r="G105" i="7"/>
  <c r="F105" i="7"/>
  <c r="C105" i="7"/>
  <c r="B105" i="7"/>
  <c r="A105" i="7"/>
  <c r="S104" i="7"/>
  <c r="R104" i="7"/>
  <c r="O104" i="7"/>
  <c r="M104" i="7"/>
  <c r="L104" i="7"/>
  <c r="I104" i="7"/>
  <c r="H104" i="7"/>
  <c r="F104" i="7"/>
  <c r="B104" i="7"/>
  <c r="A104" i="7"/>
  <c r="S103" i="7"/>
  <c r="R103" i="7"/>
  <c r="O103" i="7"/>
  <c r="M103" i="7"/>
  <c r="L103" i="7"/>
  <c r="I103" i="7"/>
  <c r="H103" i="7"/>
  <c r="F103" i="7"/>
  <c r="B103" i="7"/>
  <c r="A103" i="7"/>
  <c r="S102" i="7"/>
  <c r="R102" i="7"/>
  <c r="P102" i="7"/>
  <c r="O102" i="7"/>
  <c r="M102" i="7"/>
  <c r="L102" i="7"/>
  <c r="K102" i="7"/>
  <c r="J102" i="7"/>
  <c r="I102" i="7"/>
  <c r="H102" i="7"/>
  <c r="G102" i="7"/>
  <c r="F102" i="7"/>
  <c r="E102" i="7"/>
  <c r="D102" i="7"/>
  <c r="C102" i="7"/>
  <c r="B102" i="7"/>
  <c r="A102" i="7"/>
  <c r="S101" i="7"/>
  <c r="R101" i="7"/>
  <c r="P101" i="7"/>
  <c r="O101" i="7"/>
  <c r="M101" i="7"/>
  <c r="L101" i="7"/>
  <c r="K101" i="7"/>
  <c r="J101" i="7"/>
  <c r="I101" i="7"/>
  <c r="H101" i="7"/>
  <c r="G101" i="7"/>
  <c r="F101" i="7"/>
  <c r="E101" i="7"/>
  <c r="D101" i="7"/>
  <c r="C101" i="7"/>
  <c r="B101" i="7"/>
  <c r="A101" i="7"/>
  <c r="S100" i="7"/>
  <c r="R100" i="7"/>
  <c r="P100" i="7"/>
  <c r="O100" i="7"/>
  <c r="M100" i="7"/>
  <c r="L100" i="7"/>
  <c r="K100" i="7"/>
  <c r="J100" i="7"/>
  <c r="I100" i="7"/>
  <c r="H100" i="7"/>
  <c r="G100" i="7"/>
  <c r="F100" i="7"/>
  <c r="E100" i="7"/>
  <c r="B100" i="7"/>
  <c r="A100" i="7"/>
  <c r="S99" i="7"/>
  <c r="R99" i="7"/>
  <c r="P99" i="7"/>
  <c r="O99" i="7"/>
  <c r="M99" i="7"/>
  <c r="L99" i="7"/>
  <c r="K99" i="7"/>
  <c r="J99" i="7"/>
  <c r="I99" i="7"/>
  <c r="H99" i="7"/>
  <c r="G99" i="7"/>
  <c r="F99" i="7"/>
  <c r="E99" i="7"/>
  <c r="C99" i="7"/>
  <c r="B99" i="7"/>
  <c r="A99" i="7"/>
  <c r="S98" i="7"/>
  <c r="R98" i="7"/>
  <c r="O98" i="7"/>
  <c r="M98" i="7"/>
  <c r="L98" i="7"/>
  <c r="I98" i="7"/>
  <c r="H98" i="7"/>
  <c r="G98" i="7"/>
  <c r="F98" i="7"/>
  <c r="C98" i="7"/>
  <c r="B98" i="7"/>
  <c r="A98" i="7"/>
  <c r="S97" i="7"/>
  <c r="A97" i="7"/>
  <c r="S96" i="7"/>
  <c r="R96" i="7"/>
  <c r="P96" i="7"/>
  <c r="O96" i="7"/>
  <c r="M96" i="7"/>
  <c r="L96" i="7"/>
  <c r="K96" i="7"/>
  <c r="J96" i="7"/>
  <c r="I96" i="7"/>
  <c r="H96" i="7"/>
  <c r="G96" i="7"/>
  <c r="F96" i="7"/>
  <c r="E96" i="7"/>
  <c r="C96" i="7"/>
  <c r="B96" i="7"/>
  <c r="A96" i="7"/>
  <c r="S95" i="7"/>
  <c r="R95" i="7"/>
  <c r="P95" i="7"/>
  <c r="O95" i="7"/>
  <c r="M95" i="7"/>
  <c r="L95" i="7"/>
  <c r="K95" i="7"/>
  <c r="J95" i="7"/>
  <c r="I95" i="7"/>
  <c r="H95" i="7"/>
  <c r="G95" i="7"/>
  <c r="F95" i="7"/>
  <c r="E95" i="7"/>
  <c r="C95" i="7"/>
  <c r="B95" i="7"/>
  <c r="A95" i="7"/>
  <c r="S94" i="7"/>
  <c r="R94" i="7"/>
  <c r="P94" i="7"/>
  <c r="O94" i="7"/>
  <c r="M94" i="7"/>
  <c r="L94" i="7"/>
  <c r="K94" i="7"/>
  <c r="J94" i="7"/>
  <c r="I94" i="7"/>
  <c r="H94" i="7"/>
  <c r="G94" i="7"/>
  <c r="F94" i="7"/>
  <c r="E94" i="7"/>
  <c r="D94" i="7"/>
  <c r="C94" i="7"/>
  <c r="B94" i="7"/>
  <c r="A94" i="7"/>
  <c r="S93" i="7"/>
  <c r="R93" i="7"/>
  <c r="O93" i="7"/>
  <c r="M93" i="7"/>
  <c r="L93" i="7"/>
  <c r="I93" i="7"/>
  <c r="H93" i="7"/>
  <c r="F93" i="7"/>
  <c r="B93" i="7"/>
  <c r="A93" i="7"/>
  <c r="S92" i="7"/>
  <c r="R92" i="7"/>
  <c r="O92" i="7"/>
  <c r="M92" i="7"/>
  <c r="L92" i="7"/>
  <c r="I92" i="7"/>
  <c r="H92" i="7"/>
  <c r="F92" i="7"/>
  <c r="B92" i="7"/>
  <c r="A92" i="7"/>
  <c r="S91" i="7"/>
  <c r="R91" i="7"/>
  <c r="O91" i="7"/>
  <c r="M91" i="7"/>
  <c r="L91" i="7"/>
  <c r="I91" i="7"/>
  <c r="H91" i="7"/>
  <c r="G91" i="7"/>
  <c r="F91" i="7"/>
  <c r="C91" i="7"/>
  <c r="B91" i="7"/>
  <c r="A91" i="7"/>
  <c r="S90" i="7"/>
  <c r="R90" i="7"/>
  <c r="O90" i="7"/>
  <c r="M90" i="7"/>
  <c r="L90" i="7"/>
  <c r="I90" i="7"/>
  <c r="H90" i="7"/>
  <c r="F90" i="7"/>
  <c r="B90" i="7"/>
  <c r="A90" i="7"/>
  <c r="S89" i="7"/>
  <c r="R89" i="7"/>
  <c r="P89" i="7"/>
  <c r="O89" i="7"/>
  <c r="M89" i="7"/>
  <c r="L89" i="7"/>
  <c r="K89" i="7"/>
  <c r="J89" i="7"/>
  <c r="I89" i="7"/>
  <c r="H89" i="7"/>
  <c r="G89" i="7"/>
  <c r="F89" i="7"/>
  <c r="E89" i="7"/>
  <c r="D89" i="7"/>
  <c r="C89" i="7"/>
  <c r="B89" i="7"/>
  <c r="A89" i="7"/>
  <c r="S88" i="7"/>
  <c r="R88" i="7"/>
  <c r="O88" i="7"/>
  <c r="M88" i="7"/>
  <c r="L88" i="7"/>
  <c r="I88" i="7"/>
  <c r="H88" i="7"/>
  <c r="F88" i="7"/>
  <c r="E88" i="7"/>
  <c r="B88" i="7"/>
  <c r="A88" i="7"/>
  <c r="S87" i="7"/>
  <c r="R87" i="7"/>
  <c r="O87" i="7"/>
  <c r="M87" i="7"/>
  <c r="L87" i="7"/>
  <c r="I87" i="7"/>
  <c r="H87" i="7"/>
  <c r="F87" i="7"/>
  <c r="E87" i="7"/>
  <c r="B87" i="7"/>
  <c r="A87" i="7"/>
  <c r="S86" i="7"/>
  <c r="R86" i="7"/>
  <c r="P86" i="7"/>
  <c r="O86" i="7"/>
  <c r="M86" i="7"/>
  <c r="L86" i="7"/>
  <c r="K86" i="7"/>
  <c r="J86" i="7"/>
  <c r="I86" i="7"/>
  <c r="H86" i="7"/>
  <c r="G86" i="7"/>
  <c r="F86" i="7"/>
  <c r="D86" i="7"/>
  <c r="C86" i="7"/>
  <c r="B86" i="7"/>
  <c r="A86" i="7"/>
  <c r="S85" i="7"/>
  <c r="R85" i="7"/>
  <c r="O85" i="7"/>
  <c r="M85" i="7"/>
  <c r="L85" i="7"/>
  <c r="I85" i="7"/>
  <c r="H85" i="7"/>
  <c r="F85" i="7"/>
  <c r="B85" i="7"/>
  <c r="A85" i="7"/>
  <c r="S84" i="7"/>
  <c r="R84" i="7"/>
  <c r="O84" i="7"/>
  <c r="M84" i="7"/>
  <c r="L84" i="7"/>
  <c r="I84" i="7"/>
  <c r="H84" i="7"/>
  <c r="F84" i="7"/>
  <c r="B84" i="7"/>
  <c r="A84" i="7"/>
  <c r="S83" i="7"/>
  <c r="R83" i="7"/>
  <c r="P83" i="7"/>
  <c r="O83" i="7"/>
  <c r="M83" i="7"/>
  <c r="L83" i="7"/>
  <c r="K83" i="7"/>
  <c r="J83" i="7"/>
  <c r="I83" i="7"/>
  <c r="H83" i="7"/>
  <c r="G83" i="7"/>
  <c r="F83" i="7"/>
  <c r="E83" i="7"/>
  <c r="B83" i="7"/>
  <c r="A83" i="7"/>
  <c r="S82" i="7"/>
  <c r="R82" i="7"/>
  <c r="P82" i="7"/>
  <c r="O82" i="7"/>
  <c r="M82" i="7"/>
  <c r="L82" i="7"/>
  <c r="K82" i="7"/>
  <c r="J82" i="7"/>
  <c r="I82" i="7"/>
  <c r="H82" i="7"/>
  <c r="G82" i="7"/>
  <c r="F82" i="7"/>
  <c r="C82" i="7"/>
  <c r="B82" i="7"/>
  <c r="A82" i="7"/>
  <c r="S81" i="7"/>
  <c r="R81" i="7"/>
  <c r="P81" i="7"/>
  <c r="O81" i="7"/>
  <c r="M81" i="7"/>
  <c r="L81" i="7"/>
  <c r="K81" i="7"/>
  <c r="J81" i="7"/>
  <c r="I81" i="7"/>
  <c r="H81" i="7"/>
  <c r="G81" i="7"/>
  <c r="F81" i="7"/>
  <c r="C81" i="7"/>
  <c r="B81" i="7"/>
  <c r="A81" i="7"/>
  <c r="S80" i="7"/>
  <c r="R80" i="7"/>
  <c r="O80" i="7"/>
  <c r="M80" i="7"/>
  <c r="L80" i="7"/>
  <c r="I80" i="7"/>
  <c r="H80" i="7"/>
  <c r="F80" i="7"/>
  <c r="B80" i="7"/>
  <c r="A80" i="7"/>
  <c r="S79" i="7"/>
  <c r="R79" i="7"/>
  <c r="O79" i="7"/>
  <c r="M79" i="7"/>
  <c r="L79" i="7"/>
  <c r="I79" i="7"/>
  <c r="H79" i="7"/>
  <c r="F79" i="7"/>
  <c r="D79" i="7"/>
  <c r="B79" i="7"/>
  <c r="A79" i="7"/>
  <c r="S78" i="7"/>
  <c r="A78" i="7"/>
  <c r="S77" i="7"/>
  <c r="R77" i="7"/>
  <c r="O77" i="7"/>
  <c r="M77" i="7"/>
  <c r="L77" i="7"/>
  <c r="I77" i="7"/>
  <c r="H77" i="7"/>
  <c r="F77" i="7"/>
  <c r="B77" i="7"/>
  <c r="A77" i="7"/>
  <c r="S76" i="7"/>
  <c r="R76" i="7"/>
  <c r="P76" i="7"/>
  <c r="O76" i="7"/>
  <c r="M76" i="7"/>
  <c r="L76" i="7"/>
  <c r="K76" i="7"/>
  <c r="J76" i="7"/>
  <c r="I76" i="7"/>
  <c r="H76" i="7"/>
  <c r="G76" i="7"/>
  <c r="F76" i="7"/>
  <c r="E76" i="7"/>
  <c r="C76" i="7"/>
  <c r="B76" i="7"/>
  <c r="A76" i="7"/>
  <c r="S75" i="7"/>
  <c r="A75" i="7"/>
  <c r="S74" i="7"/>
  <c r="R74" i="7"/>
  <c r="P74" i="7"/>
  <c r="O74" i="7"/>
  <c r="M74" i="7"/>
  <c r="L74" i="7"/>
  <c r="K74" i="7"/>
  <c r="J74" i="7"/>
  <c r="I74" i="7"/>
  <c r="H74" i="7"/>
  <c r="G74" i="7"/>
  <c r="F74" i="7"/>
  <c r="D74" i="7"/>
  <c r="C74" i="7"/>
  <c r="B74" i="7"/>
  <c r="A74" i="7"/>
  <c r="S73" i="7"/>
  <c r="R73" i="7"/>
  <c r="P73" i="7"/>
  <c r="O73" i="7"/>
  <c r="M73" i="7"/>
  <c r="L73" i="7"/>
  <c r="K73" i="7"/>
  <c r="J73" i="7"/>
  <c r="I73" i="7"/>
  <c r="H73" i="7"/>
  <c r="G73" i="7"/>
  <c r="F73" i="7"/>
  <c r="C73" i="7"/>
  <c r="B73" i="7"/>
  <c r="A73" i="7"/>
  <c r="S72" i="7"/>
  <c r="A72" i="7"/>
  <c r="S71" i="7"/>
  <c r="R71" i="7"/>
  <c r="P71" i="7"/>
  <c r="O71" i="7"/>
  <c r="M71" i="7"/>
  <c r="L71" i="7"/>
  <c r="K71" i="7"/>
  <c r="J71" i="7"/>
  <c r="I71" i="7"/>
  <c r="H71" i="7"/>
  <c r="G71" i="7"/>
  <c r="F71" i="7"/>
  <c r="E71" i="7"/>
  <c r="D71" i="7"/>
  <c r="C71" i="7"/>
  <c r="B71" i="7"/>
  <c r="A71" i="7"/>
  <c r="S70" i="7"/>
  <c r="R70" i="7"/>
  <c r="P70" i="7"/>
  <c r="O70" i="7"/>
  <c r="M70" i="7"/>
  <c r="L70" i="7"/>
  <c r="K70" i="7"/>
  <c r="J70" i="7"/>
  <c r="I70" i="7"/>
  <c r="H70" i="7"/>
  <c r="G70" i="7"/>
  <c r="F70" i="7"/>
  <c r="C70" i="7"/>
  <c r="B70" i="7"/>
  <c r="A70" i="7"/>
  <c r="S69" i="7"/>
  <c r="R69" i="7"/>
  <c r="P69" i="7"/>
  <c r="O69" i="7"/>
  <c r="M69" i="7"/>
  <c r="L69" i="7"/>
  <c r="K69" i="7"/>
  <c r="J69" i="7"/>
  <c r="I69" i="7"/>
  <c r="H69" i="7"/>
  <c r="G69" i="7"/>
  <c r="F69" i="7"/>
  <c r="E69" i="7"/>
  <c r="C69" i="7"/>
  <c r="B69" i="7"/>
  <c r="A69" i="7"/>
  <c r="S68" i="7"/>
  <c r="R68" i="7"/>
  <c r="P68" i="7"/>
  <c r="O68" i="7"/>
  <c r="M68" i="7"/>
  <c r="L68" i="7"/>
  <c r="K68" i="7"/>
  <c r="J68" i="7"/>
  <c r="I68" i="7"/>
  <c r="H68" i="7"/>
  <c r="G68" i="7"/>
  <c r="F68" i="7"/>
  <c r="E68" i="7"/>
  <c r="C68" i="7"/>
  <c r="B68" i="7"/>
  <c r="A68" i="7"/>
  <c r="S67" i="7"/>
  <c r="R67" i="7"/>
  <c r="P67" i="7"/>
  <c r="O67" i="7"/>
  <c r="M67" i="7"/>
  <c r="L67" i="7"/>
  <c r="K67" i="7"/>
  <c r="J67" i="7"/>
  <c r="I67" i="7"/>
  <c r="H67" i="7"/>
  <c r="G67" i="7"/>
  <c r="E67" i="7"/>
  <c r="C67" i="7"/>
  <c r="B67" i="7"/>
  <c r="A67" i="7"/>
  <c r="S66" i="7"/>
  <c r="R66" i="7"/>
  <c r="O66" i="7"/>
  <c r="M66" i="7"/>
  <c r="L66" i="7"/>
  <c r="I66" i="7"/>
  <c r="H66" i="7"/>
  <c r="F66" i="7"/>
  <c r="B66" i="7"/>
  <c r="A66" i="7"/>
  <c r="S65" i="7"/>
  <c r="A65" i="7"/>
  <c r="S64" i="7"/>
  <c r="R64" i="7"/>
  <c r="P64" i="7"/>
  <c r="O64" i="7"/>
  <c r="M64" i="7"/>
  <c r="L64" i="7"/>
  <c r="K64" i="7"/>
  <c r="J64" i="7"/>
  <c r="I64" i="7"/>
  <c r="H64" i="7"/>
  <c r="G64" i="7"/>
  <c r="F64" i="7"/>
  <c r="C64" i="7"/>
  <c r="B64" i="7"/>
  <c r="A64" i="7"/>
  <c r="S63" i="7"/>
  <c r="R63" i="7"/>
  <c r="O63" i="7"/>
  <c r="M63" i="7"/>
  <c r="L63" i="7"/>
  <c r="I63" i="7"/>
  <c r="H63" i="7"/>
  <c r="F63" i="7"/>
  <c r="B63" i="7"/>
  <c r="A63" i="7"/>
  <c r="S62" i="7"/>
  <c r="R62" i="7"/>
  <c r="O62" i="7"/>
  <c r="M62" i="7"/>
  <c r="L62" i="7"/>
  <c r="J62" i="7"/>
  <c r="I62" i="7"/>
  <c r="H62" i="7"/>
  <c r="G62" i="7"/>
  <c r="F62" i="7"/>
  <c r="D62" i="7"/>
  <c r="C62" i="7"/>
  <c r="B62" i="7"/>
  <c r="A62" i="7"/>
  <c r="S61" i="7"/>
  <c r="R61" i="7"/>
  <c r="O61" i="7"/>
  <c r="M61" i="7"/>
  <c r="L61" i="7"/>
  <c r="I61" i="7"/>
  <c r="H61" i="7"/>
  <c r="F61" i="7"/>
  <c r="B61" i="7"/>
  <c r="A61" i="7"/>
  <c r="S60" i="7"/>
  <c r="R60" i="7"/>
  <c r="P60" i="7"/>
  <c r="O60" i="7"/>
  <c r="M60" i="7"/>
  <c r="L60" i="7"/>
  <c r="K60" i="7"/>
  <c r="J60" i="7"/>
  <c r="I60" i="7"/>
  <c r="H60" i="7"/>
  <c r="G60" i="7"/>
  <c r="F60" i="7"/>
  <c r="E60" i="7"/>
  <c r="C60" i="7"/>
  <c r="B60" i="7"/>
  <c r="A60" i="7"/>
  <c r="S59" i="7"/>
  <c r="R59" i="7"/>
  <c r="P59" i="7"/>
  <c r="O59" i="7"/>
  <c r="M59" i="7"/>
  <c r="L59" i="7"/>
  <c r="K59" i="7"/>
  <c r="J59" i="7"/>
  <c r="I59" i="7"/>
  <c r="H59" i="7"/>
  <c r="G59" i="7"/>
  <c r="F59" i="7"/>
  <c r="B59" i="7"/>
  <c r="A59" i="7"/>
  <c r="S58" i="7"/>
  <c r="R58" i="7"/>
  <c r="P58" i="7"/>
  <c r="O58" i="7"/>
  <c r="M58" i="7"/>
  <c r="L58" i="7"/>
  <c r="K58" i="7"/>
  <c r="J58" i="7"/>
  <c r="I58" i="7"/>
  <c r="H58" i="7"/>
  <c r="G58" i="7"/>
  <c r="F58" i="7"/>
  <c r="D58" i="7"/>
  <c r="C58" i="7"/>
  <c r="B58" i="7"/>
  <c r="A58" i="7"/>
  <c r="S57" i="7"/>
  <c r="R57" i="7"/>
  <c r="O57" i="7"/>
  <c r="M57" i="7"/>
  <c r="L57" i="7"/>
  <c r="I57" i="7"/>
  <c r="H57" i="7"/>
  <c r="F57" i="7"/>
  <c r="B57" i="7"/>
  <c r="A57" i="7"/>
  <c r="S56" i="7"/>
  <c r="A56" i="7"/>
  <c r="S55" i="7"/>
  <c r="R55" i="7"/>
  <c r="O55" i="7"/>
  <c r="M55" i="7"/>
  <c r="L55" i="7"/>
  <c r="J55" i="7"/>
  <c r="I55" i="7"/>
  <c r="H55" i="7"/>
  <c r="G55" i="7"/>
  <c r="F55" i="7"/>
  <c r="C55" i="7"/>
  <c r="B55" i="7"/>
  <c r="A55" i="7"/>
  <c r="S54" i="7"/>
  <c r="R54" i="7"/>
  <c r="P54" i="7"/>
  <c r="O54" i="7"/>
  <c r="M54" i="7"/>
  <c r="L54" i="7"/>
  <c r="K54" i="7"/>
  <c r="J54" i="7"/>
  <c r="I54" i="7"/>
  <c r="H54" i="7"/>
  <c r="G54" i="7"/>
  <c r="F54" i="7"/>
  <c r="C54" i="7"/>
  <c r="B54" i="7"/>
  <c r="A54" i="7"/>
  <c r="S53" i="7"/>
  <c r="R53" i="7"/>
  <c r="O53" i="7"/>
  <c r="M53" i="7"/>
  <c r="L53" i="7"/>
  <c r="I53" i="7"/>
  <c r="H53" i="7"/>
  <c r="F53" i="7"/>
  <c r="B53" i="7"/>
  <c r="A53" i="7"/>
  <c r="S52" i="7"/>
  <c r="R52" i="7"/>
  <c r="O52" i="7"/>
  <c r="M52" i="7"/>
  <c r="L52" i="7"/>
  <c r="I52" i="7"/>
  <c r="H52" i="7"/>
  <c r="F52" i="7"/>
  <c r="B52" i="7"/>
  <c r="A52" i="7"/>
  <c r="S51" i="7"/>
  <c r="R51" i="7"/>
  <c r="O51" i="7"/>
  <c r="M51" i="7"/>
  <c r="L51" i="7"/>
  <c r="I51" i="7"/>
  <c r="H51" i="7"/>
  <c r="F51" i="7"/>
  <c r="D51" i="7"/>
  <c r="B51" i="7"/>
  <c r="A51" i="7"/>
  <c r="S50" i="7"/>
  <c r="R50" i="7"/>
  <c r="P50" i="7"/>
  <c r="O50" i="7"/>
  <c r="M50" i="7"/>
  <c r="L50" i="7"/>
  <c r="K50" i="7"/>
  <c r="J50" i="7"/>
  <c r="I50" i="7"/>
  <c r="H50" i="7"/>
  <c r="G50" i="7"/>
  <c r="F50" i="7"/>
  <c r="E50" i="7"/>
  <c r="D50" i="7"/>
  <c r="C50" i="7"/>
  <c r="B50" i="7"/>
  <c r="A50" i="7"/>
  <c r="S49" i="7"/>
  <c r="R49" i="7"/>
  <c r="P49" i="7"/>
  <c r="O49" i="7"/>
  <c r="M49" i="7"/>
  <c r="L49" i="7"/>
  <c r="K49" i="7"/>
  <c r="J49" i="7"/>
  <c r="I49" i="7"/>
  <c r="H49" i="7"/>
  <c r="G49" i="7"/>
  <c r="F49" i="7"/>
  <c r="E49" i="7"/>
  <c r="D49" i="7"/>
  <c r="C49" i="7"/>
  <c r="B49" i="7"/>
  <c r="A49" i="7"/>
  <c r="S48" i="7"/>
  <c r="R48" i="7"/>
  <c r="O48" i="7"/>
  <c r="M48" i="7"/>
  <c r="L48" i="7"/>
  <c r="I48" i="7"/>
  <c r="H48" i="7"/>
  <c r="G48" i="7"/>
  <c r="F48" i="7"/>
  <c r="C48" i="7"/>
  <c r="B48" i="7"/>
  <c r="A48" i="7"/>
  <c r="S47" i="7"/>
  <c r="R47" i="7"/>
  <c r="P47" i="7"/>
  <c r="O47" i="7"/>
  <c r="M47" i="7"/>
  <c r="L47" i="7"/>
  <c r="K47" i="7"/>
  <c r="J47" i="7"/>
  <c r="I47" i="7"/>
  <c r="H47" i="7"/>
  <c r="G47" i="7"/>
  <c r="F47" i="7"/>
  <c r="E47" i="7"/>
  <c r="C47" i="7"/>
  <c r="B47" i="7"/>
  <c r="A47" i="7"/>
  <c r="S46" i="7"/>
  <c r="R46" i="7"/>
  <c r="P46" i="7"/>
  <c r="O46" i="7"/>
  <c r="M46" i="7"/>
  <c r="L46" i="7"/>
  <c r="K46" i="7"/>
  <c r="J46" i="7"/>
  <c r="I46" i="7"/>
  <c r="H46" i="7"/>
  <c r="G46" i="7"/>
  <c r="F46" i="7"/>
  <c r="E46" i="7"/>
  <c r="D46" i="7"/>
  <c r="C46" i="7"/>
  <c r="B46" i="7"/>
  <c r="A46" i="7"/>
  <c r="S45" i="7"/>
  <c r="R45" i="7"/>
  <c r="O45" i="7"/>
  <c r="M45" i="7"/>
  <c r="L45" i="7"/>
  <c r="I45" i="7"/>
  <c r="H45" i="7"/>
  <c r="F45" i="7"/>
  <c r="B45" i="7"/>
  <c r="A45" i="7"/>
  <c r="S44" i="7"/>
  <c r="R44" i="7"/>
  <c r="P44" i="7"/>
  <c r="O44" i="7"/>
  <c r="M44" i="7"/>
  <c r="L44" i="7"/>
  <c r="K44" i="7"/>
  <c r="J44" i="7"/>
  <c r="I44" i="7"/>
  <c r="H44" i="7"/>
  <c r="G44" i="7"/>
  <c r="F44" i="7"/>
  <c r="C44" i="7"/>
  <c r="B44" i="7"/>
  <c r="A44" i="7"/>
  <c r="S43" i="7"/>
  <c r="R43" i="7"/>
  <c r="O43" i="7"/>
  <c r="M43" i="7"/>
  <c r="L43" i="7"/>
  <c r="I43" i="7"/>
  <c r="H43" i="7"/>
  <c r="F43" i="7"/>
  <c r="B43" i="7"/>
  <c r="A43" i="7"/>
  <c r="S42" i="7"/>
  <c r="R42" i="7"/>
  <c r="P42" i="7"/>
  <c r="O42" i="7"/>
  <c r="M42" i="7"/>
  <c r="L42" i="7"/>
  <c r="K42" i="7"/>
  <c r="J42" i="7"/>
  <c r="I42" i="7"/>
  <c r="H42" i="7"/>
  <c r="G42" i="7"/>
  <c r="F42" i="7"/>
  <c r="E42" i="7"/>
  <c r="D42" i="7"/>
  <c r="C42" i="7"/>
  <c r="B42" i="7"/>
  <c r="A42" i="7"/>
  <c r="S41" i="7"/>
  <c r="A41" i="7"/>
  <c r="S40" i="7"/>
  <c r="A40" i="7"/>
  <c r="S39" i="7"/>
  <c r="R39" i="7"/>
  <c r="P39" i="7"/>
  <c r="O39" i="7"/>
  <c r="M39" i="7"/>
  <c r="L39" i="7"/>
  <c r="K39" i="7"/>
  <c r="J39" i="7"/>
  <c r="I39" i="7"/>
  <c r="H39" i="7"/>
  <c r="G39" i="7"/>
  <c r="F39" i="7"/>
  <c r="E39" i="7"/>
  <c r="B39" i="7"/>
  <c r="A39" i="7"/>
  <c r="S38" i="7"/>
  <c r="R38" i="7"/>
  <c r="O38" i="7"/>
  <c r="M38" i="7"/>
  <c r="L38" i="7"/>
  <c r="I38" i="7"/>
  <c r="H38" i="7"/>
  <c r="G38" i="7"/>
  <c r="F38" i="7"/>
  <c r="D38" i="7"/>
  <c r="C38" i="7"/>
  <c r="B38" i="7"/>
  <c r="A38" i="7"/>
  <c r="S37" i="7"/>
  <c r="R37" i="7"/>
  <c r="P37" i="7"/>
  <c r="O37" i="7"/>
  <c r="M37" i="7"/>
  <c r="L37" i="7"/>
  <c r="K37" i="7"/>
  <c r="J37" i="7"/>
  <c r="I37" i="7"/>
  <c r="H37" i="7"/>
  <c r="G37" i="7"/>
  <c r="F37" i="7"/>
  <c r="E37" i="7"/>
  <c r="D37" i="7"/>
  <c r="C37" i="7"/>
  <c r="B37" i="7"/>
  <c r="A37" i="7"/>
  <c r="S36" i="7"/>
  <c r="R36" i="7"/>
  <c r="P36" i="7"/>
  <c r="O36" i="7"/>
  <c r="M36" i="7"/>
  <c r="L36" i="7"/>
  <c r="K36" i="7"/>
  <c r="J36" i="7"/>
  <c r="I36" i="7"/>
  <c r="H36" i="7"/>
  <c r="G36" i="7"/>
  <c r="F36" i="7"/>
  <c r="E36" i="7"/>
  <c r="D36" i="7"/>
  <c r="B36" i="7"/>
  <c r="A36" i="7"/>
  <c r="S35" i="7"/>
  <c r="R35" i="7"/>
  <c r="O35" i="7"/>
  <c r="M35" i="7"/>
  <c r="L35" i="7"/>
  <c r="I35" i="7"/>
  <c r="H35" i="7"/>
  <c r="F35" i="7"/>
  <c r="B35" i="7"/>
  <c r="A35" i="7"/>
  <c r="S34" i="7"/>
  <c r="R34" i="7"/>
  <c r="P34" i="7"/>
  <c r="O34" i="7"/>
  <c r="M34" i="7"/>
  <c r="L34" i="7"/>
  <c r="K34" i="7"/>
  <c r="J34" i="7"/>
  <c r="I34" i="7"/>
  <c r="H34" i="7"/>
  <c r="G34" i="7"/>
  <c r="F34" i="7"/>
  <c r="E34" i="7"/>
  <c r="C34" i="7"/>
  <c r="B34" i="7"/>
  <c r="A34" i="7"/>
  <c r="S33" i="7"/>
  <c r="R33" i="7"/>
  <c r="O33" i="7"/>
  <c r="M33" i="7"/>
  <c r="L33" i="7"/>
  <c r="I33" i="7"/>
  <c r="H33" i="7"/>
  <c r="F33" i="7"/>
  <c r="B33" i="7"/>
  <c r="A33" i="7"/>
  <c r="S32" i="7"/>
  <c r="R32" i="7"/>
  <c r="O32" i="7"/>
  <c r="M32" i="7"/>
  <c r="L32" i="7"/>
  <c r="I32" i="7"/>
  <c r="H32" i="7"/>
  <c r="F32" i="7"/>
  <c r="B32" i="7"/>
  <c r="A32" i="7"/>
  <c r="S31" i="7"/>
  <c r="R31" i="7"/>
  <c r="O31" i="7"/>
  <c r="M31" i="7"/>
  <c r="L31" i="7"/>
  <c r="I31" i="7"/>
  <c r="H31" i="7"/>
  <c r="F31" i="7"/>
  <c r="B31" i="7"/>
  <c r="A31" i="7"/>
  <c r="S30" i="7"/>
  <c r="R30" i="7"/>
  <c r="P30" i="7"/>
  <c r="O30" i="7"/>
  <c r="M30" i="7"/>
  <c r="L30" i="7"/>
  <c r="K30" i="7"/>
  <c r="J30" i="7"/>
  <c r="I30" i="7"/>
  <c r="H30" i="7"/>
  <c r="G30" i="7"/>
  <c r="F30" i="7"/>
  <c r="E30" i="7"/>
  <c r="D30" i="7"/>
  <c r="C30" i="7"/>
  <c r="B30" i="7"/>
  <c r="A30" i="7"/>
  <c r="S29" i="7"/>
  <c r="R29" i="7"/>
  <c r="P29" i="7"/>
  <c r="O29" i="7"/>
  <c r="M29" i="7"/>
  <c r="L29" i="7"/>
  <c r="K29" i="7"/>
  <c r="J29" i="7"/>
  <c r="I29" i="7"/>
  <c r="H29" i="7"/>
  <c r="G29" i="7"/>
  <c r="F29" i="7"/>
  <c r="E29" i="7"/>
  <c r="D29" i="7"/>
  <c r="C29" i="7"/>
  <c r="B29" i="7"/>
  <c r="A29" i="7"/>
  <c r="S28" i="7"/>
  <c r="R28" i="7"/>
  <c r="P28" i="7"/>
  <c r="O28" i="7"/>
  <c r="M28" i="7"/>
  <c r="L28" i="7"/>
  <c r="K28" i="7"/>
  <c r="J28" i="7"/>
  <c r="I28" i="7"/>
  <c r="H28" i="7"/>
  <c r="G28" i="7"/>
  <c r="F28" i="7"/>
  <c r="E28" i="7"/>
  <c r="D28" i="7"/>
  <c r="C28" i="7"/>
  <c r="B28" i="7"/>
  <c r="A28" i="7"/>
  <c r="S27" i="7"/>
  <c r="R27" i="7"/>
  <c r="P27" i="7"/>
  <c r="O27" i="7"/>
  <c r="M27" i="7"/>
  <c r="L27" i="7"/>
  <c r="K27" i="7"/>
  <c r="J27" i="7"/>
  <c r="I27" i="7"/>
  <c r="H27" i="7"/>
  <c r="G27" i="7"/>
  <c r="F27" i="7"/>
  <c r="E27" i="7"/>
  <c r="D27" i="7"/>
  <c r="C27" i="7"/>
  <c r="B27" i="7"/>
  <c r="A27" i="7"/>
  <c r="S26" i="7"/>
  <c r="R26" i="7"/>
  <c r="O26" i="7"/>
  <c r="M26" i="7"/>
  <c r="L26" i="7"/>
  <c r="I26" i="7"/>
  <c r="H26" i="7"/>
  <c r="F26" i="7"/>
  <c r="B26" i="7"/>
  <c r="A26" i="7"/>
  <c r="S25" i="7"/>
  <c r="R25" i="7"/>
  <c r="O25" i="7"/>
  <c r="M25" i="7"/>
  <c r="L25" i="7"/>
  <c r="I25" i="7"/>
  <c r="H25" i="7"/>
  <c r="F25" i="7"/>
  <c r="B25" i="7"/>
  <c r="A25" i="7"/>
  <c r="S24" i="7"/>
  <c r="R24" i="7"/>
  <c r="O24" i="7"/>
  <c r="M24" i="7"/>
  <c r="L24" i="7"/>
  <c r="I24" i="7"/>
  <c r="H24" i="7"/>
  <c r="F24" i="7"/>
  <c r="B24" i="7"/>
  <c r="A24" i="7"/>
  <c r="S23" i="7"/>
  <c r="R23" i="7"/>
  <c r="O23" i="7"/>
  <c r="M23" i="7"/>
  <c r="L23" i="7"/>
  <c r="I23" i="7"/>
  <c r="H23" i="7"/>
  <c r="F23" i="7"/>
  <c r="C23" i="7"/>
  <c r="B23" i="7"/>
  <c r="A23" i="7"/>
  <c r="S22" i="7"/>
  <c r="A22" i="7"/>
  <c r="S21" i="7"/>
  <c r="R21" i="7"/>
  <c r="O21" i="7"/>
  <c r="M21" i="7"/>
  <c r="L21" i="7"/>
  <c r="I21" i="7"/>
  <c r="H21" i="7"/>
  <c r="G21" i="7"/>
  <c r="F21" i="7"/>
  <c r="E21" i="7"/>
  <c r="D21" i="7"/>
  <c r="B21" i="7"/>
  <c r="A21" i="7"/>
  <c r="S20" i="7"/>
  <c r="A20" i="7"/>
  <c r="S19" i="7"/>
  <c r="R19" i="7"/>
  <c r="P19" i="7"/>
  <c r="O19" i="7"/>
  <c r="M19" i="7"/>
  <c r="L19" i="7"/>
  <c r="K19" i="7"/>
  <c r="J19" i="7"/>
  <c r="I19" i="7"/>
  <c r="H19" i="7"/>
  <c r="G19" i="7"/>
  <c r="F19" i="7"/>
  <c r="D19" i="7"/>
  <c r="C19" i="7"/>
  <c r="B19" i="7"/>
  <c r="A19" i="7"/>
  <c r="S18" i="7"/>
  <c r="R18" i="7"/>
  <c r="P18" i="7"/>
  <c r="O18" i="7"/>
  <c r="M18" i="7"/>
  <c r="L18" i="7"/>
  <c r="K18" i="7"/>
  <c r="J18" i="7"/>
  <c r="I18" i="7"/>
  <c r="H18" i="7"/>
  <c r="G18" i="7"/>
  <c r="F18" i="7"/>
  <c r="E18" i="7"/>
  <c r="D18" i="7"/>
  <c r="C18" i="7"/>
  <c r="B18" i="7"/>
  <c r="A18" i="7"/>
  <c r="S17" i="7"/>
  <c r="R17" i="7"/>
  <c r="P17" i="7"/>
  <c r="O17" i="7"/>
  <c r="M17" i="7"/>
  <c r="L17" i="7"/>
  <c r="K17" i="7"/>
  <c r="J17" i="7"/>
  <c r="I17" i="7"/>
  <c r="H17" i="7"/>
  <c r="G17" i="7"/>
  <c r="F17" i="7"/>
  <c r="E17" i="7"/>
  <c r="D17" i="7"/>
  <c r="C17" i="7"/>
  <c r="B17" i="7"/>
  <c r="A17" i="7"/>
  <c r="S16" i="7"/>
  <c r="A16" i="7"/>
  <c r="S15" i="7"/>
  <c r="R15" i="7"/>
  <c r="P15" i="7"/>
  <c r="O15" i="7"/>
  <c r="M15" i="7"/>
  <c r="L15" i="7"/>
  <c r="K15" i="7"/>
  <c r="J15" i="7"/>
  <c r="I15" i="7"/>
  <c r="H15" i="7"/>
  <c r="G15" i="7"/>
  <c r="F15" i="7"/>
  <c r="E15" i="7"/>
  <c r="D15" i="7"/>
  <c r="C15" i="7"/>
  <c r="B15" i="7"/>
  <c r="A15" i="7"/>
  <c r="S14" i="7"/>
  <c r="R14" i="7"/>
  <c r="O14" i="7"/>
  <c r="M14" i="7"/>
  <c r="L14" i="7"/>
  <c r="I14" i="7"/>
  <c r="H14" i="7"/>
  <c r="F14" i="7"/>
  <c r="B14" i="7"/>
  <c r="A14" i="7"/>
  <c r="S13" i="7"/>
  <c r="R13" i="7"/>
  <c r="O13" i="7"/>
  <c r="M13" i="7"/>
  <c r="L13" i="7"/>
  <c r="I13" i="7"/>
  <c r="H13" i="7"/>
  <c r="F13" i="7"/>
  <c r="B13" i="7"/>
  <c r="A13" i="7"/>
  <c r="S12" i="7"/>
  <c r="R12" i="7"/>
  <c r="P12" i="7"/>
  <c r="O12" i="7"/>
  <c r="M12" i="7"/>
  <c r="L12" i="7"/>
  <c r="K12" i="7"/>
  <c r="J12" i="7"/>
  <c r="I12" i="7"/>
  <c r="H12" i="7"/>
  <c r="G12" i="7"/>
  <c r="F12" i="7"/>
  <c r="E12" i="7"/>
  <c r="D12" i="7"/>
  <c r="C12" i="7"/>
  <c r="B12" i="7"/>
  <c r="A12" i="7"/>
  <c r="S11" i="7"/>
  <c r="R11" i="7"/>
  <c r="P11" i="7"/>
  <c r="O11" i="7"/>
  <c r="M11" i="7"/>
  <c r="L11" i="7"/>
  <c r="K11" i="7"/>
  <c r="J11" i="7"/>
  <c r="I11" i="7"/>
  <c r="H11" i="7"/>
  <c r="G11" i="7"/>
  <c r="F11" i="7"/>
  <c r="D11" i="7"/>
  <c r="C11" i="7"/>
  <c r="B11" i="7"/>
  <c r="A11" i="7"/>
  <c r="S10" i="7"/>
  <c r="R10" i="7"/>
  <c r="O10" i="7"/>
  <c r="M10" i="7"/>
  <c r="L10" i="7"/>
  <c r="I10" i="7"/>
  <c r="H10" i="7"/>
  <c r="G10" i="7"/>
  <c r="F10" i="7"/>
  <c r="D10" i="7"/>
  <c r="C10" i="7"/>
  <c r="B10" i="7"/>
  <c r="A10" i="7"/>
  <c r="S9" i="7"/>
  <c r="R9" i="7"/>
  <c r="P9" i="7"/>
  <c r="O9" i="7"/>
  <c r="M9" i="7"/>
  <c r="L9" i="7"/>
  <c r="K9" i="7"/>
  <c r="J9" i="7"/>
  <c r="I9" i="7"/>
  <c r="H9" i="7"/>
  <c r="G9" i="7"/>
  <c r="F9" i="7"/>
  <c r="E9" i="7"/>
  <c r="D9" i="7"/>
  <c r="C9" i="7"/>
  <c r="B9" i="7"/>
  <c r="A9" i="7"/>
  <c r="S8" i="7"/>
  <c r="R8" i="7"/>
  <c r="P8" i="7"/>
  <c r="O8" i="7"/>
  <c r="M8" i="7"/>
  <c r="L8" i="7"/>
  <c r="K8" i="7"/>
  <c r="J8" i="7"/>
  <c r="I8" i="7"/>
  <c r="H8" i="7"/>
  <c r="G8" i="7"/>
  <c r="F8" i="7"/>
  <c r="E8" i="7"/>
  <c r="D8" i="7"/>
  <c r="C8" i="7"/>
  <c r="B8" i="7"/>
  <c r="A8" i="7"/>
  <c r="S7" i="7"/>
  <c r="R7" i="7"/>
  <c r="O7" i="7"/>
  <c r="M7" i="7"/>
  <c r="L7" i="7"/>
  <c r="I7" i="7"/>
  <c r="H7" i="7"/>
  <c r="G7" i="7"/>
  <c r="F7" i="7"/>
  <c r="E7" i="7"/>
  <c r="D7" i="7"/>
  <c r="C7" i="7"/>
  <c r="B7" i="7"/>
  <c r="A7" i="7"/>
  <c r="S6" i="7"/>
  <c r="R6" i="7"/>
  <c r="P6" i="7"/>
  <c r="O6" i="7"/>
  <c r="M6" i="7"/>
  <c r="L6" i="7"/>
  <c r="K6" i="7"/>
  <c r="J6" i="7"/>
  <c r="I6" i="7"/>
  <c r="H6" i="7"/>
  <c r="G6" i="7"/>
  <c r="F6" i="7"/>
  <c r="E6" i="7"/>
  <c r="D6" i="7"/>
  <c r="C6" i="7"/>
  <c r="B6" i="7"/>
  <c r="A6" i="7"/>
  <c r="S5" i="7"/>
  <c r="R5" i="7"/>
  <c r="P5" i="7"/>
  <c r="O5" i="7"/>
  <c r="M5" i="7"/>
  <c r="L5" i="7"/>
  <c r="K5" i="7"/>
  <c r="J5" i="7"/>
  <c r="I5" i="7"/>
  <c r="H5" i="7"/>
  <c r="G5" i="7"/>
  <c r="F5" i="7"/>
  <c r="E5" i="7"/>
  <c r="D5" i="7"/>
  <c r="C5" i="7"/>
  <c r="B5" i="7"/>
  <c r="A5" i="7"/>
  <c r="S4" i="7"/>
  <c r="R4" i="7"/>
  <c r="P4" i="7"/>
  <c r="O4" i="7"/>
  <c r="M4" i="7"/>
  <c r="L4" i="7"/>
  <c r="K4" i="7"/>
  <c r="J4" i="7"/>
  <c r="I4" i="7"/>
  <c r="H4" i="7"/>
  <c r="F4" i="7"/>
  <c r="E4" i="7"/>
  <c r="D4" i="7"/>
  <c r="C4" i="7"/>
  <c r="B4" i="7"/>
  <c r="A4" i="7"/>
  <c r="S3" i="7"/>
  <c r="R3" i="7"/>
  <c r="O3" i="7"/>
  <c r="M3" i="7"/>
  <c r="L3" i="7"/>
  <c r="I3" i="7"/>
  <c r="H3" i="7"/>
  <c r="F3" i="7"/>
  <c r="B3" i="7"/>
  <c r="A3" i="7"/>
  <c r="S2" i="7"/>
  <c r="R2" i="7"/>
  <c r="P2" i="7"/>
  <c r="O2" i="7"/>
  <c r="M2" i="7"/>
  <c r="L2" i="7"/>
  <c r="K2" i="7"/>
  <c r="J2" i="7"/>
  <c r="I2" i="7"/>
  <c r="H2" i="7"/>
  <c r="F2" i="7"/>
  <c r="D2" i="7"/>
  <c r="C2" i="7"/>
  <c r="B2" i="7"/>
  <c r="A2" i="7"/>
  <c r="S1" i="7"/>
  <c r="R1" i="7"/>
  <c r="Q1" i="7"/>
  <c r="P1" i="7"/>
  <c r="O1" i="7"/>
  <c r="M1" i="7"/>
  <c r="L1" i="7"/>
  <c r="K1" i="7"/>
  <c r="J1" i="7"/>
  <c r="I1" i="7"/>
  <c r="H1" i="7"/>
  <c r="G1" i="7"/>
  <c r="F1" i="7"/>
  <c r="E1" i="7"/>
  <c r="D1" i="7"/>
  <c r="C1" i="7"/>
  <c r="B1" i="7"/>
  <c r="A1" i="7"/>
  <c r="AE251" i="5"/>
  <c r="AD251" i="5"/>
  <c r="AC251" i="5"/>
  <c r="AB251" i="5"/>
  <c r="AA251" i="5"/>
  <c r="Z251" i="5"/>
  <c r="Y251" i="5"/>
  <c r="X251" i="5"/>
  <c r="W251" i="5"/>
  <c r="V251" i="5"/>
  <c r="U251" i="5"/>
  <c r="T251" i="5"/>
  <c r="S251" i="5"/>
  <c r="R251" i="5"/>
  <c r="Q251" i="5"/>
  <c r="P251" i="5"/>
  <c r="O251" i="5"/>
  <c r="N251" i="5"/>
  <c r="M251" i="5"/>
  <c r="L251" i="5"/>
  <c r="K251" i="5"/>
  <c r="J251" i="5"/>
  <c r="I251" i="5"/>
  <c r="H251" i="5"/>
  <c r="G251" i="5"/>
  <c r="F251" i="5"/>
  <c r="E251" i="5"/>
  <c r="D251" i="5"/>
  <c r="C251" i="5"/>
  <c r="B251" i="5"/>
  <c r="A251" i="5"/>
  <c r="AE250" i="5"/>
  <c r="AD250" i="5"/>
  <c r="AC250" i="5"/>
  <c r="AB250" i="5"/>
  <c r="AA250" i="5"/>
  <c r="Z250" i="5"/>
  <c r="Y250" i="5"/>
  <c r="X250" i="5"/>
  <c r="W250" i="5"/>
  <c r="V250" i="5"/>
  <c r="U250" i="5"/>
  <c r="T250" i="5"/>
  <c r="S250" i="5"/>
  <c r="R250" i="5"/>
  <c r="Q250" i="5"/>
  <c r="P250" i="5"/>
  <c r="O250" i="5"/>
  <c r="N250" i="5"/>
  <c r="M250" i="5"/>
  <c r="L250" i="5"/>
  <c r="K250" i="5"/>
  <c r="J250" i="5"/>
  <c r="I250" i="5"/>
  <c r="H250" i="5"/>
  <c r="G250" i="5"/>
  <c r="F250" i="5"/>
  <c r="E250" i="5"/>
  <c r="D250" i="5"/>
  <c r="C250" i="5"/>
  <c r="B250" i="5"/>
  <c r="A250" i="5"/>
  <c r="AE249" i="5"/>
  <c r="AD249" i="5"/>
  <c r="AC249" i="5"/>
  <c r="AB249" i="5"/>
  <c r="AA249" i="5"/>
  <c r="Z249" i="5"/>
  <c r="Y249" i="5"/>
  <c r="X249" i="5"/>
  <c r="W249" i="5"/>
  <c r="V249" i="5"/>
  <c r="U249" i="5"/>
  <c r="T249" i="5"/>
  <c r="S249" i="5"/>
  <c r="R249" i="5"/>
  <c r="Q249" i="5"/>
  <c r="P249" i="5"/>
  <c r="O249" i="5"/>
  <c r="N249" i="5"/>
  <c r="M249" i="5"/>
  <c r="L249" i="5"/>
  <c r="K249" i="5"/>
  <c r="J249" i="5"/>
  <c r="I249" i="5"/>
  <c r="H249" i="5"/>
  <c r="G249" i="5"/>
  <c r="F249" i="5"/>
  <c r="E249" i="5"/>
  <c r="D249" i="5"/>
  <c r="C249" i="5"/>
  <c r="B249" i="5"/>
  <c r="A249" i="5"/>
  <c r="AE248" i="5"/>
  <c r="AD248" i="5"/>
  <c r="AC248" i="5"/>
  <c r="AB248" i="5"/>
  <c r="AA248" i="5"/>
  <c r="Z248" i="5"/>
  <c r="Y248" i="5"/>
  <c r="X248" i="5"/>
  <c r="W248" i="5"/>
  <c r="V248" i="5"/>
  <c r="U248" i="5"/>
  <c r="T248" i="5"/>
  <c r="S248" i="5"/>
  <c r="R248" i="5"/>
  <c r="Q248" i="5"/>
  <c r="P248" i="5"/>
  <c r="O248" i="5"/>
  <c r="N248" i="5"/>
  <c r="M248" i="5"/>
  <c r="L248" i="5"/>
  <c r="K248" i="5"/>
  <c r="J248" i="5"/>
  <c r="I248" i="5"/>
  <c r="H248" i="5"/>
  <c r="G248" i="5"/>
  <c r="F248" i="5"/>
  <c r="E248" i="5"/>
  <c r="D248" i="5"/>
  <c r="C248" i="5"/>
  <c r="B248" i="5"/>
  <c r="A248" i="5"/>
  <c r="AE247" i="5"/>
  <c r="AD247" i="5"/>
  <c r="AC247" i="5"/>
  <c r="AB247" i="5"/>
  <c r="AA247" i="5"/>
  <c r="Z247" i="5"/>
  <c r="Y247" i="5"/>
  <c r="X247" i="5"/>
  <c r="W247" i="5"/>
  <c r="V247" i="5"/>
  <c r="U247" i="5"/>
  <c r="T247" i="5"/>
  <c r="S247" i="5"/>
  <c r="R247" i="5"/>
  <c r="Q247" i="5"/>
  <c r="P247" i="5"/>
  <c r="O247" i="5"/>
  <c r="N247" i="5"/>
  <c r="M247" i="5"/>
  <c r="L247" i="5"/>
  <c r="K247" i="5"/>
  <c r="J247" i="5"/>
  <c r="I247" i="5"/>
  <c r="H247" i="5"/>
  <c r="G247" i="5"/>
  <c r="F247" i="5"/>
  <c r="E247" i="5"/>
  <c r="D247" i="5"/>
  <c r="C247" i="5"/>
  <c r="B247" i="5"/>
  <c r="A247" i="5"/>
  <c r="AE246" i="5"/>
  <c r="AD246" i="5"/>
  <c r="AC246" i="5"/>
  <c r="AB246" i="5"/>
  <c r="AA246" i="5"/>
  <c r="Z246" i="5"/>
  <c r="Y246" i="5"/>
  <c r="X246" i="5"/>
  <c r="W246" i="5"/>
  <c r="V246" i="5"/>
  <c r="U246" i="5"/>
  <c r="T246" i="5"/>
  <c r="S246" i="5"/>
  <c r="R246" i="5"/>
  <c r="Q246" i="5"/>
  <c r="P246" i="5"/>
  <c r="O246" i="5"/>
  <c r="N246" i="5"/>
  <c r="M246" i="5"/>
  <c r="L246" i="5"/>
  <c r="K246" i="5"/>
  <c r="J246" i="5"/>
  <c r="I246" i="5"/>
  <c r="H246" i="5"/>
  <c r="G246" i="5"/>
  <c r="F246" i="5"/>
  <c r="E246" i="5"/>
  <c r="D246" i="5"/>
  <c r="C246" i="5"/>
  <c r="B246" i="5"/>
  <c r="A246" i="5"/>
  <c r="AE245" i="5"/>
  <c r="AD245" i="5"/>
  <c r="AC245" i="5"/>
  <c r="AB245" i="5"/>
  <c r="AA245" i="5"/>
  <c r="Z245" i="5"/>
  <c r="Y245" i="5"/>
  <c r="X245" i="5"/>
  <c r="W245" i="5"/>
  <c r="V245" i="5"/>
  <c r="U245" i="5"/>
  <c r="T245" i="5"/>
  <c r="S245" i="5"/>
  <c r="R245" i="5"/>
  <c r="Q245" i="5"/>
  <c r="P245" i="5"/>
  <c r="O245" i="5"/>
  <c r="N245" i="5"/>
  <c r="M245" i="5"/>
  <c r="L245" i="5"/>
  <c r="K245" i="5"/>
  <c r="J245" i="5"/>
  <c r="I245" i="5"/>
  <c r="H245" i="5"/>
  <c r="G245" i="5"/>
  <c r="F245" i="5"/>
  <c r="E245" i="5"/>
  <c r="D245" i="5"/>
  <c r="C245" i="5"/>
  <c r="B245" i="5"/>
  <c r="A245" i="5"/>
  <c r="AE244" i="5"/>
  <c r="AD244" i="5"/>
  <c r="AC244" i="5"/>
  <c r="AB244" i="5"/>
  <c r="AA244" i="5"/>
  <c r="Z244" i="5"/>
  <c r="Y244" i="5"/>
  <c r="X244" i="5"/>
  <c r="W244" i="5"/>
  <c r="V244" i="5"/>
  <c r="U244" i="5"/>
  <c r="T244" i="5"/>
  <c r="S244" i="5"/>
  <c r="R244" i="5"/>
  <c r="Q244" i="5"/>
  <c r="P244" i="5"/>
  <c r="O244" i="5"/>
  <c r="N244" i="5"/>
  <c r="M244" i="5"/>
  <c r="L244" i="5"/>
  <c r="K244" i="5"/>
  <c r="J244" i="5"/>
  <c r="I244" i="5"/>
  <c r="H244" i="5"/>
  <c r="G244" i="5"/>
  <c r="F244" i="5"/>
  <c r="E244" i="5"/>
  <c r="D244" i="5"/>
  <c r="C244" i="5"/>
  <c r="B244" i="5"/>
  <c r="A244" i="5"/>
  <c r="AE243" i="5"/>
  <c r="AD243" i="5"/>
  <c r="AC243" i="5"/>
  <c r="AB243" i="5"/>
  <c r="AA243" i="5"/>
  <c r="Z243" i="5"/>
  <c r="Y243" i="5"/>
  <c r="X243" i="5"/>
  <c r="W243" i="5"/>
  <c r="V243" i="5"/>
  <c r="U243" i="5"/>
  <c r="T243" i="5"/>
  <c r="S243" i="5"/>
  <c r="R243" i="5"/>
  <c r="Q243" i="5"/>
  <c r="P243" i="5"/>
  <c r="O243" i="5"/>
  <c r="N243" i="5"/>
  <c r="M243" i="5"/>
  <c r="L243" i="5"/>
  <c r="K243" i="5"/>
  <c r="J243" i="5"/>
  <c r="I243" i="5"/>
  <c r="H243" i="5"/>
  <c r="G243" i="5"/>
  <c r="F243" i="5"/>
  <c r="E243" i="5"/>
  <c r="D243" i="5"/>
  <c r="C243" i="5"/>
  <c r="B243" i="5"/>
  <c r="A243" i="5"/>
  <c r="AE242" i="5"/>
  <c r="AD242" i="5"/>
  <c r="AC242" i="5"/>
  <c r="AB242" i="5"/>
  <c r="AA242" i="5"/>
  <c r="Z242" i="5"/>
  <c r="Y242" i="5"/>
  <c r="X242" i="5"/>
  <c r="W242" i="5"/>
  <c r="V242" i="5"/>
  <c r="U242" i="5"/>
  <c r="T242" i="5"/>
  <c r="S242" i="5"/>
  <c r="R242" i="5"/>
  <c r="Q242" i="5"/>
  <c r="P242" i="5"/>
  <c r="O242" i="5"/>
  <c r="N242" i="5"/>
  <c r="M242" i="5"/>
  <c r="L242" i="5"/>
  <c r="K242" i="5"/>
  <c r="J242" i="5"/>
  <c r="I242" i="5"/>
  <c r="H242" i="5"/>
  <c r="G242" i="5"/>
  <c r="F242" i="5"/>
  <c r="E242" i="5"/>
  <c r="D242" i="5"/>
  <c r="C242" i="5"/>
  <c r="B242" i="5"/>
  <c r="A242" i="5"/>
  <c r="AE241" i="5"/>
  <c r="AD241" i="5"/>
  <c r="AC241" i="5"/>
  <c r="AB241" i="5"/>
  <c r="AA241" i="5"/>
  <c r="Z241" i="5"/>
  <c r="Y241" i="5"/>
  <c r="X241" i="5"/>
  <c r="W241" i="5"/>
  <c r="V241" i="5"/>
  <c r="U241" i="5"/>
  <c r="T241" i="5"/>
  <c r="S241" i="5"/>
  <c r="R241" i="5"/>
  <c r="Q241" i="5"/>
  <c r="P241" i="5"/>
  <c r="O241" i="5"/>
  <c r="N241" i="5"/>
  <c r="M241" i="5"/>
  <c r="L241" i="5"/>
  <c r="K241" i="5"/>
  <c r="J241" i="5"/>
  <c r="I241" i="5"/>
  <c r="H241" i="5"/>
  <c r="G241" i="5"/>
  <c r="F241" i="5"/>
  <c r="E241" i="5"/>
  <c r="D241" i="5"/>
  <c r="C241" i="5"/>
  <c r="B241" i="5"/>
  <c r="A241" i="5"/>
  <c r="AE240" i="5"/>
  <c r="AD240" i="5"/>
  <c r="AC240" i="5"/>
  <c r="AB240" i="5"/>
  <c r="AA240" i="5"/>
  <c r="Z240" i="5"/>
  <c r="Y240" i="5"/>
  <c r="X240" i="5"/>
  <c r="W240" i="5"/>
  <c r="V240" i="5"/>
  <c r="U240" i="5"/>
  <c r="T240" i="5"/>
  <c r="S240" i="5"/>
  <c r="R240" i="5"/>
  <c r="Q240" i="5"/>
  <c r="P240" i="5"/>
  <c r="O240" i="5"/>
  <c r="N240" i="5"/>
  <c r="M240" i="5"/>
  <c r="L240" i="5"/>
  <c r="K240" i="5"/>
  <c r="J240" i="5"/>
  <c r="I240" i="5"/>
  <c r="H240" i="5"/>
  <c r="G240" i="5"/>
  <c r="F240" i="5"/>
  <c r="E240" i="5"/>
  <c r="D240" i="5"/>
  <c r="C240" i="5"/>
  <c r="B240" i="5"/>
  <c r="A240" i="5"/>
  <c r="AE239" i="5"/>
  <c r="AD239" i="5"/>
  <c r="AC239" i="5"/>
  <c r="AB239" i="5"/>
  <c r="AA239" i="5"/>
  <c r="Z239" i="5"/>
  <c r="Y239" i="5"/>
  <c r="X239" i="5"/>
  <c r="W239" i="5"/>
  <c r="V239" i="5"/>
  <c r="U239" i="5"/>
  <c r="T239" i="5"/>
  <c r="S239" i="5"/>
  <c r="R239" i="5"/>
  <c r="Q239" i="5"/>
  <c r="P239" i="5"/>
  <c r="O239" i="5"/>
  <c r="N239" i="5"/>
  <c r="M239" i="5"/>
  <c r="L239" i="5"/>
  <c r="K239" i="5"/>
  <c r="J239" i="5"/>
  <c r="I239" i="5"/>
  <c r="H239" i="5"/>
  <c r="G239" i="5"/>
  <c r="F239" i="5"/>
  <c r="E239" i="5"/>
  <c r="D239" i="5"/>
  <c r="C239" i="5"/>
  <c r="B239" i="5"/>
  <c r="A239" i="5"/>
  <c r="AE238" i="5"/>
  <c r="AD238" i="5"/>
  <c r="AC238" i="5"/>
  <c r="AB238" i="5"/>
  <c r="AA238" i="5"/>
  <c r="Z238" i="5"/>
  <c r="Y238" i="5"/>
  <c r="X238" i="5"/>
  <c r="W238" i="5"/>
  <c r="V238" i="5"/>
  <c r="U238" i="5"/>
  <c r="T238" i="5"/>
  <c r="S238" i="5"/>
  <c r="R238" i="5"/>
  <c r="Q238" i="5"/>
  <c r="P238" i="5"/>
  <c r="O238" i="5"/>
  <c r="N238" i="5"/>
  <c r="M238" i="5"/>
  <c r="L238" i="5"/>
  <c r="K238" i="5"/>
  <c r="J238" i="5"/>
  <c r="I238" i="5"/>
  <c r="H238" i="5"/>
  <c r="G238" i="5"/>
  <c r="F238" i="5"/>
  <c r="E238" i="5"/>
  <c r="D238" i="5"/>
  <c r="C238" i="5"/>
  <c r="B238" i="5"/>
  <c r="A238" i="5"/>
  <c r="AE237" i="5"/>
  <c r="AD237" i="5"/>
  <c r="AC237" i="5"/>
  <c r="AB237" i="5"/>
  <c r="AA237" i="5"/>
  <c r="Z237" i="5"/>
  <c r="Y237" i="5"/>
  <c r="X237" i="5"/>
  <c r="W237" i="5"/>
  <c r="V237" i="5"/>
  <c r="U237" i="5"/>
  <c r="T237" i="5"/>
  <c r="S237" i="5"/>
  <c r="R237" i="5"/>
  <c r="Q237" i="5"/>
  <c r="P237" i="5"/>
  <c r="O237" i="5"/>
  <c r="N237" i="5"/>
  <c r="M237" i="5"/>
  <c r="L237" i="5"/>
  <c r="K237" i="5"/>
  <c r="J237" i="5"/>
  <c r="I237" i="5"/>
  <c r="H237" i="5"/>
  <c r="G237" i="5"/>
  <c r="F237" i="5"/>
  <c r="E237" i="5"/>
  <c r="D237" i="5"/>
  <c r="C237" i="5"/>
  <c r="B237" i="5"/>
  <c r="A237" i="5"/>
  <c r="AE236" i="5"/>
  <c r="AD236" i="5"/>
  <c r="AC236" i="5"/>
  <c r="AB236" i="5"/>
  <c r="AA236" i="5"/>
  <c r="Z236" i="5"/>
  <c r="Y236" i="5"/>
  <c r="X236" i="5"/>
  <c r="W236" i="5"/>
  <c r="V236" i="5"/>
  <c r="U236" i="5"/>
  <c r="T236" i="5"/>
  <c r="S236" i="5"/>
  <c r="R236" i="5"/>
  <c r="Q236" i="5"/>
  <c r="P236" i="5"/>
  <c r="O236" i="5"/>
  <c r="N236" i="5"/>
  <c r="M236" i="5"/>
  <c r="L236" i="5"/>
  <c r="K236" i="5"/>
  <c r="J236" i="5"/>
  <c r="I236" i="5"/>
  <c r="H236" i="5"/>
  <c r="G236" i="5"/>
  <c r="F236" i="5"/>
  <c r="E236" i="5"/>
  <c r="D236" i="5"/>
  <c r="C236" i="5"/>
  <c r="B236" i="5"/>
  <c r="A236" i="5"/>
  <c r="AE235" i="5"/>
  <c r="AD235" i="5"/>
  <c r="AC235" i="5"/>
  <c r="AB235" i="5"/>
  <c r="AA235" i="5"/>
  <c r="Z235" i="5"/>
  <c r="Y235" i="5"/>
  <c r="X235" i="5"/>
  <c r="W235" i="5"/>
  <c r="V235" i="5"/>
  <c r="U235" i="5"/>
  <c r="T235" i="5"/>
  <c r="S235" i="5"/>
  <c r="R235" i="5"/>
  <c r="Q235" i="5"/>
  <c r="P235" i="5"/>
  <c r="O235" i="5"/>
  <c r="N235" i="5"/>
  <c r="M235" i="5"/>
  <c r="L235" i="5"/>
  <c r="K235" i="5"/>
  <c r="J235" i="5"/>
  <c r="I235" i="5"/>
  <c r="H235" i="5"/>
  <c r="G235" i="5"/>
  <c r="F235" i="5"/>
  <c r="E235" i="5"/>
  <c r="D235" i="5"/>
  <c r="C235" i="5"/>
  <c r="B235" i="5"/>
  <c r="A235" i="5"/>
  <c r="AE234" i="5"/>
  <c r="AD234" i="5"/>
  <c r="AC234" i="5"/>
  <c r="AB234" i="5"/>
  <c r="AA234" i="5"/>
  <c r="Z234" i="5"/>
  <c r="Y234" i="5"/>
  <c r="X234" i="5"/>
  <c r="W234" i="5"/>
  <c r="V234" i="5"/>
  <c r="U234" i="5"/>
  <c r="T234" i="5"/>
  <c r="S234" i="5"/>
  <c r="R234" i="5"/>
  <c r="Q234" i="5"/>
  <c r="P234" i="5"/>
  <c r="O234" i="5"/>
  <c r="N234" i="5"/>
  <c r="M234" i="5"/>
  <c r="L234" i="5"/>
  <c r="K234" i="5"/>
  <c r="J234" i="5"/>
  <c r="I234" i="5"/>
  <c r="H234" i="5"/>
  <c r="G234" i="5"/>
  <c r="F234" i="5"/>
  <c r="E234" i="5"/>
  <c r="D234" i="5"/>
  <c r="C234" i="5"/>
  <c r="B234" i="5"/>
  <c r="A234" i="5"/>
  <c r="AE233" i="5"/>
  <c r="AD233" i="5"/>
  <c r="AC233" i="5"/>
  <c r="AB233" i="5"/>
  <c r="AA233" i="5"/>
  <c r="Z233" i="5"/>
  <c r="Y233" i="5"/>
  <c r="X233" i="5"/>
  <c r="W233" i="5"/>
  <c r="V233" i="5"/>
  <c r="U233" i="5"/>
  <c r="T233" i="5"/>
  <c r="S233" i="5"/>
  <c r="R233" i="5"/>
  <c r="Q233" i="5"/>
  <c r="P233" i="5"/>
  <c r="O233" i="5"/>
  <c r="N233" i="5"/>
  <c r="M233" i="5"/>
  <c r="L233" i="5"/>
  <c r="K233" i="5"/>
  <c r="J233" i="5"/>
  <c r="I233" i="5"/>
  <c r="H233" i="5"/>
  <c r="G233" i="5"/>
  <c r="F233" i="5"/>
  <c r="E233" i="5"/>
  <c r="D233" i="5"/>
  <c r="C233" i="5"/>
  <c r="B233" i="5"/>
  <c r="A233" i="5"/>
  <c r="AE232" i="5"/>
  <c r="AD232" i="5"/>
  <c r="AC232" i="5"/>
  <c r="AB232" i="5"/>
  <c r="AA232" i="5"/>
  <c r="Z232" i="5"/>
  <c r="Y232" i="5"/>
  <c r="X232" i="5"/>
  <c r="W232" i="5"/>
  <c r="V232" i="5"/>
  <c r="U232" i="5"/>
  <c r="T232" i="5"/>
  <c r="S232" i="5"/>
  <c r="R232" i="5"/>
  <c r="Q232" i="5"/>
  <c r="P232" i="5"/>
  <c r="O232" i="5"/>
  <c r="N232" i="5"/>
  <c r="M232" i="5"/>
  <c r="L232" i="5"/>
  <c r="K232" i="5"/>
  <c r="J232" i="5"/>
  <c r="I232" i="5"/>
  <c r="H232" i="5"/>
  <c r="G232" i="5"/>
  <c r="F232" i="5"/>
  <c r="E232" i="5"/>
  <c r="D232" i="5"/>
  <c r="C232" i="5"/>
  <c r="B232" i="5"/>
  <c r="A232" i="5"/>
  <c r="AE231" i="5"/>
  <c r="AD231" i="5"/>
  <c r="AC231" i="5"/>
  <c r="AB231" i="5"/>
  <c r="AA231" i="5"/>
  <c r="Z231" i="5"/>
  <c r="Y231" i="5"/>
  <c r="X231" i="5"/>
  <c r="W231" i="5"/>
  <c r="V231" i="5"/>
  <c r="U231" i="5"/>
  <c r="T231" i="5"/>
  <c r="S231" i="5"/>
  <c r="R231" i="5"/>
  <c r="Q231" i="5"/>
  <c r="P231" i="5"/>
  <c r="O231" i="5"/>
  <c r="N231" i="5"/>
  <c r="M231" i="5"/>
  <c r="L231" i="5"/>
  <c r="K231" i="5"/>
  <c r="J231" i="5"/>
  <c r="I231" i="5"/>
  <c r="H231" i="5"/>
  <c r="G231" i="5"/>
  <c r="F231" i="5"/>
  <c r="E231" i="5"/>
  <c r="D231" i="5"/>
  <c r="C231" i="5"/>
  <c r="B231" i="5"/>
  <c r="A231" i="5"/>
  <c r="AE230" i="5"/>
  <c r="AD230" i="5"/>
  <c r="AC230" i="5"/>
  <c r="AB230" i="5"/>
  <c r="AA230" i="5"/>
  <c r="Z230" i="5"/>
  <c r="Y230" i="5"/>
  <c r="X230" i="5"/>
  <c r="W230" i="5"/>
  <c r="V230" i="5"/>
  <c r="U230" i="5"/>
  <c r="T230" i="5"/>
  <c r="S230" i="5"/>
  <c r="R230" i="5"/>
  <c r="Q230" i="5"/>
  <c r="P230" i="5"/>
  <c r="O230" i="5"/>
  <c r="N230" i="5"/>
  <c r="M230" i="5"/>
  <c r="L230" i="5"/>
  <c r="K230" i="5"/>
  <c r="J230" i="5"/>
  <c r="I230" i="5"/>
  <c r="H230" i="5"/>
  <c r="G230" i="5"/>
  <c r="F230" i="5"/>
  <c r="E230" i="5"/>
  <c r="D230" i="5"/>
  <c r="C230" i="5"/>
  <c r="B230" i="5"/>
  <c r="A230" i="5"/>
  <c r="AE229" i="5"/>
  <c r="AD229" i="5"/>
  <c r="AC229" i="5"/>
  <c r="AB229" i="5"/>
  <c r="AA229" i="5"/>
  <c r="Z229" i="5"/>
  <c r="Y229" i="5"/>
  <c r="X229" i="5"/>
  <c r="W229" i="5"/>
  <c r="V229" i="5"/>
  <c r="U229" i="5"/>
  <c r="T229" i="5"/>
  <c r="S229" i="5"/>
  <c r="R229" i="5"/>
  <c r="Q229" i="5"/>
  <c r="P229" i="5"/>
  <c r="O229" i="5"/>
  <c r="N229" i="5"/>
  <c r="M229" i="5"/>
  <c r="L229" i="5"/>
  <c r="K229" i="5"/>
  <c r="J229" i="5"/>
  <c r="I229" i="5"/>
  <c r="H229" i="5"/>
  <c r="G229" i="5"/>
  <c r="F229" i="5"/>
  <c r="E229" i="5"/>
  <c r="D229" i="5"/>
  <c r="C229" i="5"/>
  <c r="B229" i="5"/>
  <c r="A229" i="5"/>
  <c r="AE228" i="5"/>
  <c r="AD228" i="5"/>
  <c r="AC228" i="5"/>
  <c r="AB228" i="5"/>
  <c r="AA228" i="5"/>
  <c r="Z228" i="5"/>
  <c r="Y228" i="5"/>
  <c r="X228" i="5"/>
  <c r="W228" i="5"/>
  <c r="V228" i="5"/>
  <c r="U228" i="5"/>
  <c r="T228" i="5"/>
  <c r="S228" i="5"/>
  <c r="R228" i="5"/>
  <c r="Q228" i="5"/>
  <c r="P228" i="5"/>
  <c r="O228" i="5"/>
  <c r="N228" i="5"/>
  <c r="M228" i="5"/>
  <c r="L228" i="5"/>
  <c r="K228" i="5"/>
  <c r="J228" i="5"/>
  <c r="I228" i="5"/>
  <c r="H228" i="5"/>
  <c r="G228" i="5"/>
  <c r="F228" i="5"/>
  <c r="E228" i="5"/>
  <c r="D228" i="5"/>
  <c r="C228" i="5"/>
  <c r="B228" i="5"/>
  <c r="A228" i="5"/>
  <c r="AE227" i="5"/>
  <c r="AD227" i="5"/>
  <c r="AC227" i="5"/>
  <c r="AB227" i="5"/>
  <c r="AA227" i="5"/>
  <c r="Z227" i="5"/>
  <c r="Y227" i="5"/>
  <c r="X227" i="5"/>
  <c r="W227" i="5"/>
  <c r="V227" i="5"/>
  <c r="U227" i="5"/>
  <c r="T227" i="5"/>
  <c r="S227" i="5"/>
  <c r="R227" i="5"/>
  <c r="Q227" i="5"/>
  <c r="P227" i="5"/>
  <c r="O227" i="5"/>
  <c r="N227" i="5"/>
  <c r="M227" i="5"/>
  <c r="L227" i="5"/>
  <c r="K227" i="5"/>
  <c r="J227" i="5"/>
  <c r="I227" i="5"/>
  <c r="H227" i="5"/>
  <c r="G227" i="5"/>
  <c r="F227" i="5"/>
  <c r="E227" i="5"/>
  <c r="D227" i="5"/>
  <c r="C227" i="5"/>
  <c r="B227" i="5"/>
  <c r="A227" i="5"/>
  <c r="AE226" i="5"/>
  <c r="AD226" i="5"/>
  <c r="AC226" i="5"/>
  <c r="AB226" i="5"/>
  <c r="AA226" i="5"/>
  <c r="Z226" i="5"/>
  <c r="Y226" i="5"/>
  <c r="X226" i="5"/>
  <c r="W226" i="5"/>
  <c r="V226" i="5"/>
  <c r="U226" i="5"/>
  <c r="T226" i="5"/>
  <c r="S226" i="5"/>
  <c r="R226" i="5"/>
  <c r="Q226" i="5"/>
  <c r="P226" i="5"/>
  <c r="O226" i="5"/>
  <c r="N226" i="5"/>
  <c r="M226" i="5"/>
  <c r="L226" i="5"/>
  <c r="K226" i="5"/>
  <c r="J226" i="5"/>
  <c r="I226" i="5"/>
  <c r="H226" i="5"/>
  <c r="G226" i="5"/>
  <c r="F226" i="5"/>
  <c r="E226" i="5"/>
  <c r="D226" i="5"/>
  <c r="C226" i="5"/>
  <c r="B226" i="5"/>
  <c r="A226" i="5"/>
  <c r="AE225" i="5"/>
  <c r="AD225" i="5"/>
  <c r="AC225" i="5"/>
  <c r="AB225" i="5"/>
  <c r="AA225" i="5"/>
  <c r="Z225" i="5"/>
  <c r="Y225" i="5"/>
  <c r="X225" i="5"/>
  <c r="W225" i="5"/>
  <c r="V225" i="5"/>
  <c r="U225" i="5"/>
  <c r="T225" i="5"/>
  <c r="S225" i="5"/>
  <c r="R225" i="5"/>
  <c r="Q225" i="5"/>
  <c r="P225" i="5"/>
  <c r="O225" i="5"/>
  <c r="N225" i="5"/>
  <c r="M225" i="5"/>
  <c r="L225" i="5"/>
  <c r="K225" i="5"/>
  <c r="J225" i="5"/>
  <c r="I225" i="5"/>
  <c r="H225" i="5"/>
  <c r="G225" i="5"/>
  <c r="F225" i="5"/>
  <c r="E225" i="5"/>
  <c r="D225" i="5"/>
  <c r="C225" i="5"/>
  <c r="B225" i="5"/>
  <c r="A225" i="5"/>
  <c r="AE224" i="5"/>
  <c r="AD224" i="5"/>
  <c r="AC224" i="5"/>
  <c r="AB224" i="5"/>
  <c r="AA224" i="5"/>
  <c r="Z224" i="5"/>
  <c r="Y224" i="5"/>
  <c r="X224" i="5"/>
  <c r="W224" i="5"/>
  <c r="V224" i="5"/>
  <c r="U224" i="5"/>
  <c r="T224" i="5"/>
  <c r="S224" i="5"/>
  <c r="R224" i="5"/>
  <c r="Q224" i="5"/>
  <c r="P224" i="5"/>
  <c r="O224" i="5"/>
  <c r="N224" i="5"/>
  <c r="M224" i="5"/>
  <c r="L224" i="5"/>
  <c r="K224" i="5"/>
  <c r="J224" i="5"/>
  <c r="I224" i="5"/>
  <c r="H224" i="5"/>
  <c r="G224" i="5"/>
  <c r="F224" i="5"/>
  <c r="E224" i="5"/>
  <c r="D224" i="5"/>
  <c r="C224" i="5"/>
  <c r="B224" i="5"/>
  <c r="A224" i="5"/>
  <c r="AE223" i="5"/>
  <c r="AD223" i="5"/>
  <c r="AC223" i="5"/>
  <c r="AB223" i="5"/>
  <c r="AA223" i="5"/>
  <c r="Z223" i="5"/>
  <c r="Y223" i="5"/>
  <c r="X223" i="5"/>
  <c r="W223" i="5"/>
  <c r="V223" i="5"/>
  <c r="U223" i="5"/>
  <c r="T223" i="5"/>
  <c r="S223" i="5"/>
  <c r="R223" i="5"/>
  <c r="Q223" i="5"/>
  <c r="P223" i="5"/>
  <c r="O223" i="5"/>
  <c r="N223" i="5"/>
  <c r="M223" i="5"/>
  <c r="L223" i="5"/>
  <c r="K223" i="5"/>
  <c r="J223" i="5"/>
  <c r="I223" i="5"/>
  <c r="H223" i="5"/>
  <c r="G223" i="5"/>
  <c r="F223" i="5"/>
  <c r="E223" i="5"/>
  <c r="D223" i="5"/>
  <c r="C223" i="5"/>
  <c r="B223" i="5"/>
  <c r="A223" i="5"/>
  <c r="AE222" i="5"/>
  <c r="AD222" i="5"/>
  <c r="AC222" i="5"/>
  <c r="AB222" i="5"/>
  <c r="AA222" i="5"/>
  <c r="Z222" i="5"/>
  <c r="Y222" i="5"/>
  <c r="X222" i="5"/>
  <c r="W222" i="5"/>
  <c r="V222" i="5"/>
  <c r="U222" i="5"/>
  <c r="T222" i="5"/>
  <c r="S222" i="5"/>
  <c r="R222" i="5"/>
  <c r="Q222" i="5"/>
  <c r="P222" i="5"/>
  <c r="O222" i="5"/>
  <c r="N222" i="5"/>
  <c r="M222" i="5"/>
  <c r="L222" i="5"/>
  <c r="K222" i="5"/>
  <c r="J222" i="5"/>
  <c r="I222" i="5"/>
  <c r="H222" i="5"/>
  <c r="G222" i="5"/>
  <c r="F222" i="5"/>
  <c r="E222" i="5"/>
  <c r="D222" i="5"/>
  <c r="C222" i="5"/>
  <c r="B222" i="5"/>
  <c r="A222" i="5"/>
  <c r="AE221" i="5"/>
  <c r="AD221" i="5"/>
  <c r="AC221" i="5"/>
  <c r="AB221" i="5"/>
  <c r="AA221" i="5"/>
  <c r="Z221" i="5"/>
  <c r="Y221" i="5"/>
  <c r="X221" i="5"/>
  <c r="W221" i="5"/>
  <c r="V221" i="5"/>
  <c r="U221" i="5"/>
  <c r="T221" i="5"/>
  <c r="S221" i="5"/>
  <c r="R221" i="5"/>
  <c r="Q221" i="5"/>
  <c r="P221" i="5"/>
  <c r="O221" i="5"/>
  <c r="N221" i="5"/>
  <c r="M221" i="5"/>
  <c r="L221" i="5"/>
  <c r="K221" i="5"/>
  <c r="J221" i="5"/>
  <c r="I221" i="5"/>
  <c r="H221" i="5"/>
  <c r="G221" i="5"/>
  <c r="F221" i="5"/>
  <c r="E221" i="5"/>
  <c r="D221" i="5"/>
  <c r="C221" i="5"/>
  <c r="B221" i="5"/>
  <c r="A221" i="5"/>
  <c r="AE220" i="5"/>
  <c r="AD220" i="5"/>
  <c r="AC220" i="5"/>
  <c r="AB220" i="5"/>
  <c r="AA220" i="5"/>
  <c r="Z220" i="5"/>
  <c r="Y220" i="5"/>
  <c r="X220" i="5"/>
  <c r="W220" i="5"/>
  <c r="V220" i="5"/>
  <c r="U220" i="5"/>
  <c r="T220" i="5"/>
  <c r="S220" i="5"/>
  <c r="R220" i="5"/>
  <c r="Q220" i="5"/>
  <c r="P220" i="5"/>
  <c r="O220" i="5"/>
  <c r="N220" i="5"/>
  <c r="M220" i="5"/>
  <c r="L220" i="5"/>
  <c r="K220" i="5"/>
  <c r="J220" i="5"/>
  <c r="I220" i="5"/>
  <c r="H220" i="5"/>
  <c r="G220" i="5"/>
  <c r="F220" i="5"/>
  <c r="E220" i="5"/>
  <c r="D220" i="5"/>
  <c r="C220" i="5"/>
  <c r="B220" i="5"/>
  <c r="A220" i="5"/>
  <c r="AE219" i="5"/>
  <c r="AD219" i="5"/>
  <c r="AC219" i="5"/>
  <c r="AB219" i="5"/>
  <c r="AA219" i="5"/>
  <c r="Z219" i="5"/>
  <c r="Y219" i="5"/>
  <c r="X219" i="5"/>
  <c r="W219" i="5"/>
  <c r="V219" i="5"/>
  <c r="U219" i="5"/>
  <c r="T219" i="5"/>
  <c r="S219" i="5"/>
  <c r="R219" i="5"/>
  <c r="Q219" i="5"/>
  <c r="P219" i="5"/>
  <c r="O219" i="5"/>
  <c r="N219" i="5"/>
  <c r="M219" i="5"/>
  <c r="L219" i="5"/>
  <c r="K219" i="5"/>
  <c r="J219" i="5"/>
  <c r="I219" i="5"/>
  <c r="H219" i="5"/>
  <c r="G219" i="5"/>
  <c r="F219" i="5"/>
  <c r="E219" i="5"/>
  <c r="D219" i="5"/>
  <c r="C219" i="5"/>
  <c r="B219" i="5"/>
  <c r="A219" i="5"/>
  <c r="AE218" i="5"/>
  <c r="AD218" i="5"/>
  <c r="AC218" i="5"/>
  <c r="AB218" i="5"/>
  <c r="AA218" i="5"/>
  <c r="Z218" i="5"/>
  <c r="Y218" i="5"/>
  <c r="X218" i="5"/>
  <c r="W218" i="5"/>
  <c r="V218" i="5"/>
  <c r="U218" i="5"/>
  <c r="T218" i="5"/>
  <c r="S218" i="5"/>
  <c r="R218" i="5"/>
  <c r="Q218" i="5"/>
  <c r="P218" i="5"/>
  <c r="O218" i="5"/>
  <c r="N218" i="5"/>
  <c r="M218" i="5"/>
  <c r="L218" i="5"/>
  <c r="K218" i="5"/>
  <c r="J218" i="5"/>
  <c r="I218" i="5"/>
  <c r="H218" i="5"/>
  <c r="G218" i="5"/>
  <c r="F218" i="5"/>
  <c r="E218" i="5"/>
  <c r="D218" i="5"/>
  <c r="C218" i="5"/>
  <c r="B218" i="5"/>
  <c r="A218" i="5"/>
  <c r="AE217" i="5"/>
  <c r="AD217" i="5"/>
  <c r="AC217" i="5"/>
  <c r="AB217" i="5"/>
  <c r="AA217" i="5"/>
  <c r="Z217" i="5"/>
  <c r="Y217" i="5"/>
  <c r="X217" i="5"/>
  <c r="W217" i="5"/>
  <c r="V217" i="5"/>
  <c r="U217" i="5"/>
  <c r="T217" i="5"/>
  <c r="S217" i="5"/>
  <c r="R217" i="5"/>
  <c r="Q217" i="5"/>
  <c r="P217" i="5"/>
  <c r="O217" i="5"/>
  <c r="N217" i="5"/>
  <c r="M217" i="5"/>
  <c r="L217" i="5"/>
  <c r="K217" i="5"/>
  <c r="J217" i="5"/>
  <c r="I217" i="5"/>
  <c r="H217" i="5"/>
  <c r="G217" i="5"/>
  <c r="F217" i="5"/>
  <c r="E217" i="5"/>
  <c r="D217" i="5"/>
  <c r="C217" i="5"/>
  <c r="B217" i="5"/>
  <c r="A217" i="5"/>
  <c r="AE216" i="5"/>
  <c r="AD216" i="5"/>
  <c r="AC216" i="5"/>
  <c r="AB216" i="5"/>
  <c r="AA216" i="5"/>
  <c r="Z216" i="5"/>
  <c r="Y216" i="5"/>
  <c r="X216" i="5"/>
  <c r="W216" i="5"/>
  <c r="V216" i="5"/>
  <c r="U216" i="5"/>
  <c r="T216" i="5"/>
  <c r="S216" i="5"/>
  <c r="R216" i="5"/>
  <c r="Q216" i="5"/>
  <c r="P216" i="5"/>
  <c r="O216" i="5"/>
  <c r="N216" i="5"/>
  <c r="M216" i="5"/>
  <c r="L216" i="5"/>
  <c r="K216" i="5"/>
  <c r="J216" i="5"/>
  <c r="I216" i="5"/>
  <c r="H216" i="5"/>
  <c r="G216" i="5"/>
  <c r="F216" i="5"/>
  <c r="E216" i="5"/>
  <c r="D216" i="5"/>
  <c r="C216" i="5"/>
  <c r="B216" i="5"/>
  <c r="A216" i="5"/>
  <c r="AE215" i="5"/>
  <c r="AD215" i="5"/>
  <c r="AC215" i="5"/>
  <c r="AB215" i="5"/>
  <c r="AA215" i="5"/>
  <c r="Z215" i="5"/>
  <c r="Y215" i="5"/>
  <c r="X215" i="5"/>
  <c r="W215" i="5"/>
  <c r="V215" i="5"/>
  <c r="U215" i="5"/>
  <c r="T215" i="5"/>
  <c r="S215" i="5"/>
  <c r="R215" i="5"/>
  <c r="Q215" i="5"/>
  <c r="P215" i="5"/>
  <c r="O215" i="5"/>
  <c r="N215" i="5"/>
  <c r="M215" i="5"/>
  <c r="L215" i="5"/>
  <c r="K215" i="5"/>
  <c r="J215" i="5"/>
  <c r="I215" i="5"/>
  <c r="H215" i="5"/>
  <c r="G215" i="5"/>
  <c r="F215" i="5"/>
  <c r="E215" i="5"/>
  <c r="D215" i="5"/>
  <c r="C215" i="5"/>
  <c r="B215" i="5"/>
  <c r="A215" i="5"/>
  <c r="AE214" i="5"/>
  <c r="AD214" i="5"/>
  <c r="AC214" i="5"/>
  <c r="AB214" i="5"/>
  <c r="AA214" i="5"/>
  <c r="Z214" i="5"/>
  <c r="Y214" i="5"/>
  <c r="X214" i="5"/>
  <c r="W214" i="5"/>
  <c r="V214" i="5"/>
  <c r="U214" i="5"/>
  <c r="T214" i="5"/>
  <c r="S214" i="5"/>
  <c r="R214" i="5"/>
  <c r="Q214" i="5"/>
  <c r="P214" i="5"/>
  <c r="O214" i="5"/>
  <c r="N214" i="5"/>
  <c r="M214" i="5"/>
  <c r="L214" i="5"/>
  <c r="K214" i="5"/>
  <c r="J214" i="5"/>
  <c r="I214" i="5"/>
  <c r="H214" i="5"/>
  <c r="G214" i="5"/>
  <c r="F214" i="5"/>
  <c r="E214" i="5"/>
  <c r="D214" i="5"/>
  <c r="C214" i="5"/>
  <c r="B214" i="5"/>
  <c r="A214" i="5"/>
  <c r="AE213" i="5"/>
  <c r="AD213" i="5"/>
  <c r="AC213" i="5"/>
  <c r="AB213" i="5"/>
  <c r="AA213" i="5"/>
  <c r="Z213" i="5"/>
  <c r="Y213" i="5"/>
  <c r="X213" i="5"/>
  <c r="W213" i="5"/>
  <c r="V213" i="5"/>
  <c r="U213" i="5"/>
  <c r="T213" i="5"/>
  <c r="S213" i="5"/>
  <c r="R213" i="5"/>
  <c r="Q213" i="5"/>
  <c r="P213" i="5"/>
  <c r="O213" i="5"/>
  <c r="N213" i="5"/>
  <c r="M213" i="5"/>
  <c r="L213" i="5"/>
  <c r="K213" i="5"/>
  <c r="J213" i="5"/>
  <c r="I213" i="5"/>
  <c r="H213" i="5"/>
  <c r="G213" i="5"/>
  <c r="F213" i="5"/>
  <c r="E213" i="5"/>
  <c r="D213" i="5"/>
  <c r="C213" i="5"/>
  <c r="B213" i="5"/>
  <c r="A213" i="5"/>
  <c r="AE212" i="5"/>
  <c r="AC212" i="5"/>
  <c r="AB212" i="5"/>
  <c r="AA212" i="5"/>
  <c r="Z212" i="5"/>
  <c r="Y212" i="5"/>
  <c r="V212" i="5"/>
  <c r="T212" i="5"/>
  <c r="S212" i="5"/>
  <c r="R212" i="5"/>
  <c r="Q212" i="5"/>
  <c r="P212" i="5"/>
  <c r="N212" i="5"/>
  <c r="L212" i="5"/>
  <c r="K212" i="5"/>
  <c r="I212" i="5"/>
  <c r="H212" i="5"/>
  <c r="G212" i="5"/>
  <c r="E212" i="5"/>
  <c r="B212" i="5"/>
  <c r="A212" i="5"/>
  <c r="AE211" i="5"/>
  <c r="AD211" i="5"/>
  <c r="AC211" i="5"/>
  <c r="AB211" i="5"/>
  <c r="AA211" i="5"/>
  <c r="Z211" i="5"/>
  <c r="Y211" i="5"/>
  <c r="X211" i="5"/>
  <c r="W211" i="5"/>
  <c r="V211" i="5"/>
  <c r="U211" i="5"/>
  <c r="T211" i="5"/>
  <c r="S211" i="5"/>
  <c r="R211" i="5"/>
  <c r="Q211" i="5"/>
  <c r="P211" i="5"/>
  <c r="O211" i="5"/>
  <c r="N211" i="5"/>
  <c r="M211" i="5"/>
  <c r="L211" i="5"/>
  <c r="K211" i="5"/>
  <c r="J211" i="5"/>
  <c r="I211" i="5"/>
  <c r="H211" i="5"/>
  <c r="G211" i="5"/>
  <c r="F211" i="5"/>
  <c r="E211" i="5"/>
  <c r="D211" i="5"/>
  <c r="C211" i="5"/>
  <c r="B211" i="5"/>
  <c r="A211" i="5"/>
  <c r="AE210" i="5"/>
  <c r="AD210" i="5"/>
  <c r="AC210" i="5"/>
  <c r="AB210" i="5"/>
  <c r="AA210" i="5"/>
  <c r="Z210" i="5"/>
  <c r="Y210" i="5"/>
  <c r="X210" i="5"/>
  <c r="W210" i="5"/>
  <c r="V210" i="5"/>
  <c r="U210" i="5"/>
  <c r="T210" i="5"/>
  <c r="S210" i="5"/>
  <c r="R210" i="5"/>
  <c r="Q210" i="5"/>
  <c r="P210" i="5"/>
  <c r="O210" i="5"/>
  <c r="N210" i="5"/>
  <c r="M210" i="5"/>
  <c r="L210" i="5"/>
  <c r="K210" i="5"/>
  <c r="J210" i="5"/>
  <c r="I210" i="5"/>
  <c r="H210" i="5"/>
  <c r="G210" i="5"/>
  <c r="F210" i="5"/>
  <c r="E210" i="5"/>
  <c r="D210" i="5"/>
  <c r="C210" i="5"/>
  <c r="B210" i="5"/>
  <c r="A210" i="5"/>
  <c r="AE209" i="5"/>
  <c r="AC209" i="5"/>
  <c r="AB209" i="5"/>
  <c r="AA209" i="5"/>
  <c r="Z209" i="5"/>
  <c r="Y209" i="5"/>
  <c r="V209" i="5"/>
  <c r="T209" i="5"/>
  <c r="S209" i="5"/>
  <c r="R209" i="5"/>
  <c r="Q209" i="5"/>
  <c r="P209" i="5"/>
  <c r="N209" i="5"/>
  <c r="L209" i="5"/>
  <c r="K209" i="5"/>
  <c r="I209" i="5"/>
  <c r="H209" i="5"/>
  <c r="G209" i="5"/>
  <c r="E209" i="5"/>
  <c r="B209" i="5"/>
  <c r="A209" i="5"/>
  <c r="AE208" i="5"/>
  <c r="AD208" i="5"/>
  <c r="AC208" i="5"/>
  <c r="AB208" i="5"/>
  <c r="AA208" i="5"/>
  <c r="Z208" i="5"/>
  <c r="Y208" i="5"/>
  <c r="X208" i="5"/>
  <c r="W208" i="5"/>
  <c r="V208" i="5"/>
  <c r="U208" i="5"/>
  <c r="T208" i="5"/>
  <c r="S208" i="5"/>
  <c r="R208" i="5"/>
  <c r="Q208" i="5"/>
  <c r="P208" i="5"/>
  <c r="O208" i="5"/>
  <c r="N208" i="5"/>
  <c r="M208" i="5"/>
  <c r="L208" i="5"/>
  <c r="K208" i="5"/>
  <c r="J208" i="5"/>
  <c r="I208" i="5"/>
  <c r="H208" i="5"/>
  <c r="G208" i="5"/>
  <c r="F208" i="5"/>
  <c r="E208" i="5"/>
  <c r="D208" i="5"/>
  <c r="C208" i="5"/>
  <c r="B208" i="5"/>
  <c r="A208" i="5"/>
  <c r="AE207" i="5"/>
  <c r="AD207" i="5"/>
  <c r="AC207" i="5"/>
  <c r="AB207" i="5"/>
  <c r="AA207" i="5"/>
  <c r="Z207" i="5"/>
  <c r="Y207" i="5"/>
  <c r="X207" i="5"/>
  <c r="W207" i="5"/>
  <c r="V207" i="5"/>
  <c r="U207" i="5"/>
  <c r="T207" i="5"/>
  <c r="S207" i="5"/>
  <c r="R207" i="5"/>
  <c r="Q207" i="5"/>
  <c r="P207" i="5"/>
  <c r="O207" i="5"/>
  <c r="N207" i="5"/>
  <c r="M207" i="5"/>
  <c r="L207" i="5"/>
  <c r="K207" i="5"/>
  <c r="J207" i="5"/>
  <c r="I207" i="5"/>
  <c r="H207" i="5"/>
  <c r="G207" i="5"/>
  <c r="F207" i="5"/>
  <c r="E207" i="5"/>
  <c r="D207" i="5"/>
  <c r="C207" i="5"/>
  <c r="B207" i="5"/>
  <c r="A207" i="5"/>
  <c r="AE206" i="5"/>
  <c r="AD206" i="5"/>
  <c r="AC206" i="5"/>
  <c r="AB206" i="5"/>
  <c r="AA206" i="5"/>
  <c r="Z206" i="5"/>
  <c r="Y206" i="5"/>
  <c r="X206" i="5"/>
  <c r="W206" i="5"/>
  <c r="V206" i="5"/>
  <c r="U206" i="5"/>
  <c r="T206" i="5"/>
  <c r="S206" i="5"/>
  <c r="R206" i="5"/>
  <c r="Q206" i="5"/>
  <c r="P206" i="5"/>
  <c r="O206" i="5"/>
  <c r="N206" i="5"/>
  <c r="M206" i="5"/>
  <c r="L206" i="5"/>
  <c r="K206" i="5"/>
  <c r="J206" i="5"/>
  <c r="I206" i="5"/>
  <c r="H206" i="5"/>
  <c r="G206" i="5"/>
  <c r="F206" i="5"/>
  <c r="E206" i="5"/>
  <c r="D206" i="5"/>
  <c r="C206" i="5"/>
  <c r="B206" i="5"/>
  <c r="A206" i="5"/>
  <c r="AE205" i="5"/>
  <c r="AD205" i="5"/>
  <c r="AC205" i="5"/>
  <c r="AB205" i="5"/>
  <c r="AA205" i="5"/>
  <c r="Z205" i="5"/>
  <c r="Y205" i="5"/>
  <c r="X205" i="5"/>
  <c r="W205" i="5"/>
  <c r="V205" i="5"/>
  <c r="U205" i="5"/>
  <c r="T205" i="5"/>
  <c r="S205" i="5"/>
  <c r="R205" i="5"/>
  <c r="Q205" i="5"/>
  <c r="P205" i="5"/>
  <c r="O205" i="5"/>
  <c r="N205" i="5"/>
  <c r="M205" i="5"/>
  <c r="L205" i="5"/>
  <c r="K205" i="5"/>
  <c r="J205" i="5"/>
  <c r="I205" i="5"/>
  <c r="H205" i="5"/>
  <c r="G205" i="5"/>
  <c r="F205" i="5"/>
  <c r="E205" i="5"/>
  <c r="D205" i="5"/>
  <c r="C205" i="5"/>
  <c r="B205" i="5"/>
  <c r="A205" i="5"/>
  <c r="AE204" i="5"/>
  <c r="AD204" i="5"/>
  <c r="AC204" i="5"/>
  <c r="AB204" i="5"/>
  <c r="AA204" i="5"/>
  <c r="Z204" i="5"/>
  <c r="Y204" i="5"/>
  <c r="X204" i="5"/>
  <c r="W204" i="5"/>
  <c r="V204" i="5"/>
  <c r="U204" i="5"/>
  <c r="T204" i="5"/>
  <c r="S204" i="5"/>
  <c r="R204" i="5"/>
  <c r="Q204" i="5"/>
  <c r="P204" i="5"/>
  <c r="O204" i="5"/>
  <c r="N204" i="5"/>
  <c r="M204" i="5"/>
  <c r="L204" i="5"/>
  <c r="K204" i="5"/>
  <c r="J204" i="5"/>
  <c r="I204" i="5"/>
  <c r="H204" i="5"/>
  <c r="G204" i="5"/>
  <c r="F204" i="5"/>
  <c r="E204" i="5"/>
  <c r="D204" i="5"/>
  <c r="C204" i="5"/>
  <c r="B204" i="5"/>
  <c r="A204" i="5"/>
  <c r="AE203" i="5"/>
  <c r="AD203" i="5"/>
  <c r="AC203" i="5"/>
  <c r="AB203" i="5"/>
  <c r="AA203" i="5"/>
  <c r="Z203" i="5"/>
  <c r="Y203" i="5"/>
  <c r="X203" i="5"/>
  <c r="W203" i="5"/>
  <c r="V203" i="5"/>
  <c r="U203" i="5"/>
  <c r="T203" i="5"/>
  <c r="S203" i="5"/>
  <c r="R203" i="5"/>
  <c r="Q203" i="5"/>
  <c r="P203" i="5"/>
  <c r="O203" i="5"/>
  <c r="N203" i="5"/>
  <c r="M203" i="5"/>
  <c r="L203" i="5"/>
  <c r="K203" i="5"/>
  <c r="J203" i="5"/>
  <c r="I203" i="5"/>
  <c r="H203" i="5"/>
  <c r="G203" i="5"/>
  <c r="F203" i="5"/>
  <c r="E203" i="5"/>
  <c r="D203" i="5"/>
  <c r="C203" i="5"/>
  <c r="B203" i="5"/>
  <c r="A203" i="5"/>
  <c r="AE202" i="5"/>
  <c r="AD202" i="5"/>
  <c r="AC202" i="5"/>
  <c r="AB202" i="5"/>
  <c r="AA202" i="5"/>
  <c r="Z202" i="5"/>
  <c r="Y202" i="5"/>
  <c r="X202" i="5"/>
  <c r="W202" i="5"/>
  <c r="V202" i="5"/>
  <c r="U202" i="5"/>
  <c r="T202" i="5"/>
  <c r="S202" i="5"/>
  <c r="R202" i="5"/>
  <c r="Q202" i="5"/>
  <c r="P202" i="5"/>
  <c r="O202" i="5"/>
  <c r="N202" i="5"/>
  <c r="M202" i="5"/>
  <c r="L202" i="5"/>
  <c r="K202" i="5"/>
  <c r="J202" i="5"/>
  <c r="I202" i="5"/>
  <c r="H202" i="5"/>
  <c r="G202" i="5"/>
  <c r="F202" i="5"/>
  <c r="E202" i="5"/>
  <c r="D202" i="5"/>
  <c r="C202" i="5"/>
  <c r="B202" i="5"/>
  <c r="A202" i="5"/>
  <c r="AE201" i="5"/>
  <c r="AD201" i="5"/>
  <c r="AC201" i="5"/>
  <c r="AB201" i="5"/>
  <c r="AA201" i="5"/>
  <c r="Z201" i="5"/>
  <c r="Y201" i="5"/>
  <c r="X201" i="5"/>
  <c r="W201" i="5"/>
  <c r="V201" i="5"/>
  <c r="U201" i="5"/>
  <c r="T201" i="5"/>
  <c r="S201" i="5"/>
  <c r="R201" i="5"/>
  <c r="Q201" i="5"/>
  <c r="P201" i="5"/>
  <c r="O201" i="5"/>
  <c r="N201" i="5"/>
  <c r="M201" i="5"/>
  <c r="L201" i="5"/>
  <c r="K201" i="5"/>
  <c r="J201" i="5"/>
  <c r="I201" i="5"/>
  <c r="H201" i="5"/>
  <c r="G201" i="5"/>
  <c r="F201" i="5"/>
  <c r="E201" i="5"/>
  <c r="D201" i="5"/>
  <c r="C201" i="5"/>
  <c r="B201" i="5"/>
  <c r="A201" i="5"/>
  <c r="AE200" i="5"/>
  <c r="AD200" i="5"/>
  <c r="AC200" i="5"/>
  <c r="AB200" i="5"/>
  <c r="AA200" i="5"/>
  <c r="Z200" i="5"/>
  <c r="Y200" i="5"/>
  <c r="X200" i="5"/>
  <c r="W200" i="5"/>
  <c r="V200" i="5"/>
  <c r="U200" i="5"/>
  <c r="T200" i="5"/>
  <c r="S200" i="5"/>
  <c r="R200" i="5"/>
  <c r="Q200" i="5"/>
  <c r="P200" i="5"/>
  <c r="O200" i="5"/>
  <c r="N200" i="5"/>
  <c r="M200" i="5"/>
  <c r="L200" i="5"/>
  <c r="K200" i="5"/>
  <c r="J200" i="5"/>
  <c r="I200" i="5"/>
  <c r="H200" i="5"/>
  <c r="G200" i="5"/>
  <c r="F200" i="5"/>
  <c r="E200" i="5"/>
  <c r="D200" i="5"/>
  <c r="C200" i="5"/>
  <c r="B200" i="5"/>
  <c r="A200" i="5"/>
  <c r="AE199" i="5"/>
  <c r="AD199" i="5"/>
  <c r="AC199" i="5"/>
  <c r="AB199" i="5"/>
  <c r="AA199" i="5"/>
  <c r="Z199" i="5"/>
  <c r="Y199" i="5"/>
  <c r="X199" i="5"/>
  <c r="W199" i="5"/>
  <c r="V199" i="5"/>
  <c r="U199" i="5"/>
  <c r="T199" i="5"/>
  <c r="S199" i="5"/>
  <c r="R199" i="5"/>
  <c r="Q199" i="5"/>
  <c r="P199" i="5"/>
  <c r="O199" i="5"/>
  <c r="N199" i="5"/>
  <c r="M199" i="5"/>
  <c r="L199" i="5"/>
  <c r="K199" i="5"/>
  <c r="J199" i="5"/>
  <c r="I199" i="5"/>
  <c r="H199" i="5"/>
  <c r="G199" i="5"/>
  <c r="F199" i="5"/>
  <c r="E199" i="5"/>
  <c r="D199" i="5"/>
  <c r="C199" i="5"/>
  <c r="B199" i="5"/>
  <c r="A199" i="5"/>
  <c r="AE198" i="5"/>
  <c r="AD198" i="5"/>
  <c r="AC198" i="5"/>
  <c r="AB198" i="5"/>
  <c r="AA198" i="5"/>
  <c r="Z198" i="5"/>
  <c r="Y198" i="5"/>
  <c r="X198" i="5"/>
  <c r="W198" i="5"/>
  <c r="V198" i="5"/>
  <c r="U198" i="5"/>
  <c r="T198" i="5"/>
  <c r="S198" i="5"/>
  <c r="R198" i="5"/>
  <c r="Q198" i="5"/>
  <c r="P198" i="5"/>
  <c r="O198" i="5"/>
  <c r="N198" i="5"/>
  <c r="M198" i="5"/>
  <c r="L198" i="5"/>
  <c r="K198" i="5"/>
  <c r="J198" i="5"/>
  <c r="I198" i="5"/>
  <c r="H198" i="5"/>
  <c r="G198" i="5"/>
  <c r="F198" i="5"/>
  <c r="E198" i="5"/>
  <c r="D198" i="5"/>
  <c r="C198" i="5"/>
  <c r="B198" i="5"/>
  <c r="A198" i="5"/>
  <c r="AE197" i="5"/>
  <c r="AD197" i="5"/>
  <c r="AC197" i="5"/>
  <c r="AB197" i="5"/>
  <c r="AA197" i="5"/>
  <c r="Z197" i="5"/>
  <c r="Y197" i="5"/>
  <c r="X197" i="5"/>
  <c r="W197" i="5"/>
  <c r="V197" i="5"/>
  <c r="U197" i="5"/>
  <c r="T197" i="5"/>
  <c r="S197" i="5"/>
  <c r="R197" i="5"/>
  <c r="Q197" i="5"/>
  <c r="P197" i="5"/>
  <c r="O197" i="5"/>
  <c r="N197" i="5"/>
  <c r="M197" i="5"/>
  <c r="L197" i="5"/>
  <c r="K197" i="5"/>
  <c r="J197" i="5"/>
  <c r="I197" i="5"/>
  <c r="H197" i="5"/>
  <c r="G197" i="5"/>
  <c r="F197" i="5"/>
  <c r="E197" i="5"/>
  <c r="D197" i="5"/>
  <c r="C197" i="5"/>
  <c r="B197" i="5"/>
  <c r="A197" i="5"/>
  <c r="AE196" i="5"/>
  <c r="AD196" i="5"/>
  <c r="AC196" i="5"/>
  <c r="AB196" i="5"/>
  <c r="AA196" i="5"/>
  <c r="Z196" i="5"/>
  <c r="Y196" i="5"/>
  <c r="X196" i="5"/>
  <c r="W196" i="5"/>
  <c r="V196" i="5"/>
  <c r="U196" i="5"/>
  <c r="T196" i="5"/>
  <c r="S196" i="5"/>
  <c r="R196" i="5"/>
  <c r="Q196" i="5"/>
  <c r="P196" i="5"/>
  <c r="O196" i="5"/>
  <c r="N196" i="5"/>
  <c r="M196" i="5"/>
  <c r="L196" i="5"/>
  <c r="K196" i="5"/>
  <c r="J196" i="5"/>
  <c r="I196" i="5"/>
  <c r="H196" i="5"/>
  <c r="G196" i="5"/>
  <c r="F196" i="5"/>
  <c r="E196" i="5"/>
  <c r="D196" i="5"/>
  <c r="C196" i="5"/>
  <c r="B196" i="5"/>
  <c r="A196" i="5"/>
  <c r="AE195" i="5"/>
  <c r="AD195" i="5"/>
  <c r="AC195" i="5"/>
  <c r="AB195" i="5"/>
  <c r="AA195" i="5"/>
  <c r="Z195" i="5"/>
  <c r="Y195" i="5"/>
  <c r="X195" i="5"/>
  <c r="W195" i="5"/>
  <c r="V195" i="5"/>
  <c r="U195" i="5"/>
  <c r="T195" i="5"/>
  <c r="S195" i="5"/>
  <c r="R195" i="5"/>
  <c r="Q195" i="5"/>
  <c r="P195" i="5"/>
  <c r="O195" i="5"/>
  <c r="N195" i="5"/>
  <c r="M195" i="5"/>
  <c r="L195" i="5"/>
  <c r="K195" i="5"/>
  <c r="J195" i="5"/>
  <c r="I195" i="5"/>
  <c r="H195" i="5"/>
  <c r="G195" i="5"/>
  <c r="F195" i="5"/>
  <c r="E195" i="5"/>
  <c r="D195" i="5"/>
  <c r="C195" i="5"/>
  <c r="B195" i="5"/>
  <c r="A195" i="5"/>
  <c r="AE194" i="5"/>
  <c r="AD194" i="5"/>
  <c r="AC194" i="5"/>
  <c r="AB194" i="5"/>
  <c r="AA194" i="5"/>
  <c r="Z194" i="5"/>
  <c r="Y194" i="5"/>
  <c r="X194" i="5"/>
  <c r="W194" i="5"/>
  <c r="V194" i="5"/>
  <c r="U194" i="5"/>
  <c r="T194" i="5"/>
  <c r="S194" i="5"/>
  <c r="R194" i="5"/>
  <c r="Q194" i="5"/>
  <c r="P194" i="5"/>
  <c r="O194" i="5"/>
  <c r="N194" i="5"/>
  <c r="M194" i="5"/>
  <c r="L194" i="5"/>
  <c r="K194" i="5"/>
  <c r="J194" i="5"/>
  <c r="I194" i="5"/>
  <c r="H194" i="5"/>
  <c r="G194" i="5"/>
  <c r="F194" i="5"/>
  <c r="E194" i="5"/>
  <c r="D194" i="5"/>
  <c r="C194" i="5"/>
  <c r="B194" i="5"/>
  <c r="A194" i="5"/>
  <c r="AE193" i="5"/>
  <c r="AD193" i="5"/>
  <c r="AC193" i="5"/>
  <c r="AB193" i="5"/>
  <c r="AA193" i="5"/>
  <c r="Z193" i="5"/>
  <c r="Y193" i="5"/>
  <c r="X193" i="5"/>
  <c r="W193" i="5"/>
  <c r="V193" i="5"/>
  <c r="U193" i="5"/>
  <c r="T193" i="5"/>
  <c r="S193" i="5"/>
  <c r="R193" i="5"/>
  <c r="Q193" i="5"/>
  <c r="P193" i="5"/>
  <c r="O193" i="5"/>
  <c r="N193" i="5"/>
  <c r="M193" i="5"/>
  <c r="L193" i="5"/>
  <c r="K193" i="5"/>
  <c r="J193" i="5"/>
  <c r="I193" i="5"/>
  <c r="H193" i="5"/>
  <c r="G193" i="5"/>
  <c r="F193" i="5"/>
  <c r="E193" i="5"/>
  <c r="D193" i="5"/>
  <c r="C193" i="5"/>
  <c r="B193" i="5"/>
  <c r="A193" i="5"/>
  <c r="AE192" i="5"/>
  <c r="AD192" i="5"/>
  <c r="AC192" i="5"/>
  <c r="AB192" i="5"/>
  <c r="AA192" i="5"/>
  <c r="Z192" i="5"/>
  <c r="Y192" i="5"/>
  <c r="X192" i="5"/>
  <c r="W192" i="5"/>
  <c r="V192" i="5"/>
  <c r="U192" i="5"/>
  <c r="T192" i="5"/>
  <c r="S192" i="5"/>
  <c r="R192" i="5"/>
  <c r="Q192" i="5"/>
  <c r="P192" i="5"/>
  <c r="O192" i="5"/>
  <c r="N192" i="5"/>
  <c r="M192" i="5"/>
  <c r="L192" i="5"/>
  <c r="K192" i="5"/>
  <c r="J192" i="5"/>
  <c r="I192" i="5"/>
  <c r="H192" i="5"/>
  <c r="G192" i="5"/>
  <c r="F192" i="5"/>
  <c r="E192" i="5"/>
  <c r="D192" i="5"/>
  <c r="C192" i="5"/>
  <c r="B192" i="5"/>
  <c r="A192" i="5"/>
  <c r="AE191" i="5"/>
  <c r="AD191" i="5"/>
  <c r="AC191" i="5"/>
  <c r="AB191" i="5"/>
  <c r="AA191" i="5"/>
  <c r="Z191" i="5"/>
  <c r="Y191" i="5"/>
  <c r="X191" i="5"/>
  <c r="W191" i="5"/>
  <c r="V191" i="5"/>
  <c r="U191" i="5"/>
  <c r="T191" i="5"/>
  <c r="S191" i="5"/>
  <c r="R191" i="5"/>
  <c r="Q191" i="5"/>
  <c r="P191" i="5"/>
  <c r="O191" i="5"/>
  <c r="N191" i="5"/>
  <c r="M191" i="5"/>
  <c r="L191" i="5"/>
  <c r="K191" i="5"/>
  <c r="J191" i="5"/>
  <c r="I191" i="5"/>
  <c r="H191" i="5"/>
  <c r="G191" i="5"/>
  <c r="F191" i="5"/>
  <c r="E191" i="5"/>
  <c r="D191" i="5"/>
  <c r="C191" i="5"/>
  <c r="B191" i="5"/>
  <c r="A191" i="5"/>
  <c r="AE190" i="5"/>
  <c r="AD190" i="5"/>
  <c r="AC190" i="5"/>
  <c r="AB190" i="5"/>
  <c r="AA190" i="5"/>
  <c r="Z190" i="5"/>
  <c r="Y190" i="5"/>
  <c r="X190" i="5"/>
  <c r="W190" i="5"/>
  <c r="V190" i="5"/>
  <c r="U190" i="5"/>
  <c r="T190" i="5"/>
  <c r="S190" i="5"/>
  <c r="R190" i="5"/>
  <c r="Q190" i="5"/>
  <c r="P190" i="5"/>
  <c r="O190" i="5"/>
  <c r="N190" i="5"/>
  <c r="M190" i="5"/>
  <c r="L190" i="5"/>
  <c r="K190" i="5"/>
  <c r="J190" i="5"/>
  <c r="I190" i="5"/>
  <c r="H190" i="5"/>
  <c r="G190" i="5"/>
  <c r="F190" i="5"/>
  <c r="E190" i="5"/>
  <c r="D190" i="5"/>
  <c r="C190" i="5"/>
  <c r="B190" i="5"/>
  <c r="A190" i="5"/>
  <c r="AE189" i="5"/>
  <c r="AD189" i="5"/>
  <c r="AC189" i="5"/>
  <c r="AB189" i="5"/>
  <c r="AA189" i="5"/>
  <c r="Z189" i="5"/>
  <c r="Y189" i="5"/>
  <c r="X189" i="5"/>
  <c r="W189" i="5"/>
  <c r="V189" i="5"/>
  <c r="U189" i="5"/>
  <c r="T189" i="5"/>
  <c r="S189" i="5"/>
  <c r="R189" i="5"/>
  <c r="Q189" i="5"/>
  <c r="P189" i="5"/>
  <c r="O189" i="5"/>
  <c r="N189" i="5"/>
  <c r="M189" i="5"/>
  <c r="L189" i="5"/>
  <c r="K189" i="5"/>
  <c r="J189" i="5"/>
  <c r="I189" i="5"/>
  <c r="H189" i="5"/>
  <c r="G189" i="5"/>
  <c r="F189" i="5"/>
  <c r="E189" i="5"/>
  <c r="D189" i="5"/>
  <c r="C189" i="5"/>
  <c r="B189" i="5"/>
  <c r="A189" i="5"/>
  <c r="AE188" i="5"/>
  <c r="AD188" i="5"/>
  <c r="AC188" i="5"/>
  <c r="AB188" i="5"/>
  <c r="AA188" i="5"/>
  <c r="Z188" i="5"/>
  <c r="Y188" i="5"/>
  <c r="X188" i="5"/>
  <c r="W188" i="5"/>
  <c r="V188" i="5"/>
  <c r="U188" i="5"/>
  <c r="T188" i="5"/>
  <c r="S188" i="5"/>
  <c r="R188" i="5"/>
  <c r="Q188" i="5"/>
  <c r="P188" i="5"/>
  <c r="O188" i="5"/>
  <c r="N188" i="5"/>
  <c r="M188" i="5"/>
  <c r="L188" i="5"/>
  <c r="K188" i="5"/>
  <c r="J188" i="5"/>
  <c r="I188" i="5"/>
  <c r="H188" i="5"/>
  <c r="G188" i="5"/>
  <c r="F188" i="5"/>
  <c r="E188" i="5"/>
  <c r="D188" i="5"/>
  <c r="C188" i="5"/>
  <c r="B188" i="5"/>
  <c r="A188" i="5"/>
  <c r="AE187" i="5"/>
  <c r="AD187" i="5"/>
  <c r="AC187" i="5"/>
  <c r="AB187" i="5"/>
  <c r="AA187" i="5"/>
  <c r="Z187" i="5"/>
  <c r="Y187" i="5"/>
  <c r="X187" i="5"/>
  <c r="W187" i="5"/>
  <c r="V187" i="5"/>
  <c r="U187" i="5"/>
  <c r="T187" i="5"/>
  <c r="S187" i="5"/>
  <c r="R187" i="5"/>
  <c r="Q187" i="5"/>
  <c r="P187" i="5"/>
  <c r="O187" i="5"/>
  <c r="N187" i="5"/>
  <c r="M187" i="5"/>
  <c r="L187" i="5"/>
  <c r="K187" i="5"/>
  <c r="J187" i="5"/>
  <c r="I187" i="5"/>
  <c r="H187" i="5"/>
  <c r="G187" i="5"/>
  <c r="F187" i="5"/>
  <c r="E187" i="5"/>
  <c r="D187" i="5"/>
  <c r="C187" i="5"/>
  <c r="B187" i="5"/>
  <c r="A187" i="5"/>
  <c r="AE186" i="5"/>
  <c r="AD186" i="5"/>
  <c r="AC186" i="5"/>
  <c r="AB186" i="5"/>
  <c r="AA186" i="5"/>
  <c r="Z186" i="5"/>
  <c r="Y186" i="5"/>
  <c r="X186" i="5"/>
  <c r="W186" i="5"/>
  <c r="V186" i="5"/>
  <c r="U186" i="5"/>
  <c r="T186" i="5"/>
  <c r="S186" i="5"/>
  <c r="R186" i="5"/>
  <c r="Q186" i="5"/>
  <c r="P186" i="5"/>
  <c r="O186" i="5"/>
  <c r="N186" i="5"/>
  <c r="M186" i="5"/>
  <c r="L186" i="5"/>
  <c r="K186" i="5"/>
  <c r="J186" i="5"/>
  <c r="I186" i="5"/>
  <c r="H186" i="5"/>
  <c r="G186" i="5"/>
  <c r="F186" i="5"/>
  <c r="E186" i="5"/>
  <c r="D186" i="5"/>
  <c r="C186" i="5"/>
  <c r="B186" i="5"/>
  <c r="A186" i="5"/>
  <c r="AE185" i="5"/>
  <c r="AD185" i="5"/>
  <c r="AC185" i="5"/>
  <c r="AB185" i="5"/>
  <c r="AA185" i="5"/>
  <c r="Z185" i="5"/>
  <c r="Y185" i="5"/>
  <c r="X185" i="5"/>
  <c r="W185" i="5"/>
  <c r="V185" i="5"/>
  <c r="U185" i="5"/>
  <c r="T185" i="5"/>
  <c r="S185" i="5"/>
  <c r="R185" i="5"/>
  <c r="Q185" i="5"/>
  <c r="P185" i="5"/>
  <c r="O185" i="5"/>
  <c r="N185" i="5"/>
  <c r="M185" i="5"/>
  <c r="L185" i="5"/>
  <c r="K185" i="5"/>
  <c r="J185" i="5"/>
  <c r="I185" i="5"/>
  <c r="H185" i="5"/>
  <c r="G185" i="5"/>
  <c r="F185" i="5"/>
  <c r="E185" i="5"/>
  <c r="D185" i="5"/>
  <c r="C185" i="5"/>
  <c r="B185" i="5"/>
  <c r="A185" i="5"/>
  <c r="AE184" i="5"/>
  <c r="AC184" i="5"/>
  <c r="AB184" i="5"/>
  <c r="AA184" i="5"/>
  <c r="Z184" i="5"/>
  <c r="Y184" i="5"/>
  <c r="X184" i="5"/>
  <c r="V184" i="5"/>
  <c r="U184" i="5"/>
  <c r="T184" i="5"/>
  <c r="S184" i="5"/>
  <c r="R184" i="5"/>
  <c r="Q184" i="5"/>
  <c r="P184" i="5"/>
  <c r="O184" i="5"/>
  <c r="N184" i="5"/>
  <c r="L184" i="5"/>
  <c r="K184" i="5"/>
  <c r="J184" i="5"/>
  <c r="I184" i="5"/>
  <c r="H184" i="5"/>
  <c r="G184" i="5"/>
  <c r="F184" i="5"/>
  <c r="E184" i="5"/>
  <c r="D184" i="5"/>
  <c r="C184" i="5"/>
  <c r="B184" i="5"/>
  <c r="A184" i="5"/>
  <c r="AE183" i="5"/>
  <c r="AD183" i="5"/>
  <c r="AC183" i="5"/>
  <c r="AB183" i="5"/>
  <c r="AA183" i="5"/>
  <c r="Z183" i="5"/>
  <c r="Y183" i="5"/>
  <c r="X183" i="5"/>
  <c r="W183" i="5"/>
  <c r="V183" i="5"/>
  <c r="U183" i="5"/>
  <c r="T183" i="5"/>
  <c r="S183" i="5"/>
  <c r="R183" i="5"/>
  <c r="Q183" i="5"/>
  <c r="P183" i="5"/>
  <c r="O183" i="5"/>
  <c r="N183" i="5"/>
  <c r="M183" i="5"/>
  <c r="L183" i="5"/>
  <c r="K183" i="5"/>
  <c r="J183" i="5"/>
  <c r="I183" i="5"/>
  <c r="H183" i="5"/>
  <c r="G183" i="5"/>
  <c r="F183" i="5"/>
  <c r="E183" i="5"/>
  <c r="D183" i="5"/>
  <c r="C183" i="5"/>
  <c r="B183" i="5"/>
  <c r="A183" i="5"/>
  <c r="AE182" i="5"/>
  <c r="AD182" i="5"/>
  <c r="AC182" i="5"/>
  <c r="AB182" i="5"/>
  <c r="AA182" i="5"/>
  <c r="Z182" i="5"/>
  <c r="Y182" i="5"/>
  <c r="X182" i="5"/>
  <c r="W182" i="5"/>
  <c r="V182" i="5"/>
  <c r="U182" i="5"/>
  <c r="T182" i="5"/>
  <c r="S182" i="5"/>
  <c r="R182" i="5"/>
  <c r="Q182" i="5"/>
  <c r="P182" i="5"/>
  <c r="O182" i="5"/>
  <c r="N182" i="5"/>
  <c r="M182" i="5"/>
  <c r="L182" i="5"/>
  <c r="K182" i="5"/>
  <c r="J182" i="5"/>
  <c r="I182" i="5"/>
  <c r="H182" i="5"/>
  <c r="G182" i="5"/>
  <c r="F182" i="5"/>
  <c r="E182" i="5"/>
  <c r="D182" i="5"/>
  <c r="C182" i="5"/>
  <c r="B182" i="5"/>
  <c r="A182" i="5"/>
  <c r="AE181" i="5"/>
  <c r="AD181" i="5"/>
  <c r="AC181" i="5"/>
  <c r="AB181" i="5"/>
  <c r="AA181" i="5"/>
  <c r="Z181" i="5"/>
  <c r="Y181" i="5"/>
  <c r="X181" i="5"/>
  <c r="W181" i="5"/>
  <c r="V181" i="5"/>
  <c r="U181" i="5"/>
  <c r="T181" i="5"/>
  <c r="S181" i="5"/>
  <c r="R181" i="5"/>
  <c r="Q181" i="5"/>
  <c r="P181" i="5"/>
  <c r="O181" i="5"/>
  <c r="N181" i="5"/>
  <c r="M181" i="5"/>
  <c r="L181" i="5"/>
  <c r="K181" i="5"/>
  <c r="J181" i="5"/>
  <c r="I181" i="5"/>
  <c r="H181" i="5"/>
  <c r="G181" i="5"/>
  <c r="F181" i="5"/>
  <c r="E181" i="5"/>
  <c r="D181" i="5"/>
  <c r="C181" i="5"/>
  <c r="B181" i="5"/>
  <c r="A181" i="5"/>
  <c r="AE180" i="5"/>
  <c r="AD180" i="5"/>
  <c r="AC180" i="5"/>
  <c r="AB180" i="5"/>
  <c r="AA180" i="5"/>
  <c r="Z180" i="5"/>
  <c r="Y180" i="5"/>
  <c r="X180" i="5"/>
  <c r="W180" i="5"/>
  <c r="V180" i="5"/>
  <c r="U180" i="5"/>
  <c r="T180" i="5"/>
  <c r="S180" i="5"/>
  <c r="R180" i="5"/>
  <c r="Q180" i="5"/>
  <c r="P180" i="5"/>
  <c r="O180" i="5"/>
  <c r="N180" i="5"/>
  <c r="M180" i="5"/>
  <c r="L180" i="5"/>
  <c r="K180" i="5"/>
  <c r="J180" i="5"/>
  <c r="I180" i="5"/>
  <c r="H180" i="5"/>
  <c r="G180" i="5"/>
  <c r="F180" i="5"/>
  <c r="E180" i="5"/>
  <c r="D180" i="5"/>
  <c r="C180" i="5"/>
  <c r="B180" i="5"/>
  <c r="A180" i="5"/>
  <c r="AE179" i="5"/>
  <c r="AD179" i="5"/>
  <c r="AC179" i="5"/>
  <c r="AB179" i="5"/>
  <c r="AA179" i="5"/>
  <c r="Z179" i="5"/>
  <c r="Y179" i="5"/>
  <c r="X179" i="5"/>
  <c r="W179" i="5"/>
  <c r="V179" i="5"/>
  <c r="U179" i="5"/>
  <c r="T179" i="5"/>
  <c r="S179" i="5"/>
  <c r="R179" i="5"/>
  <c r="Q179" i="5"/>
  <c r="P179" i="5"/>
  <c r="O179" i="5"/>
  <c r="N179" i="5"/>
  <c r="M179" i="5"/>
  <c r="L179" i="5"/>
  <c r="K179" i="5"/>
  <c r="J179" i="5"/>
  <c r="I179" i="5"/>
  <c r="H179" i="5"/>
  <c r="G179" i="5"/>
  <c r="F179" i="5"/>
  <c r="E179" i="5"/>
  <c r="D179" i="5"/>
  <c r="C179" i="5"/>
  <c r="B179" i="5"/>
  <c r="A179" i="5"/>
  <c r="AE178" i="5"/>
  <c r="AD178" i="5"/>
  <c r="AC178" i="5"/>
  <c r="AB178" i="5"/>
  <c r="AA178" i="5"/>
  <c r="Z178" i="5"/>
  <c r="Y178" i="5"/>
  <c r="X178" i="5"/>
  <c r="W178" i="5"/>
  <c r="V178" i="5"/>
  <c r="U178" i="5"/>
  <c r="T178" i="5"/>
  <c r="S178" i="5"/>
  <c r="R178" i="5"/>
  <c r="Q178" i="5"/>
  <c r="P178" i="5"/>
  <c r="O178" i="5"/>
  <c r="N178" i="5"/>
  <c r="M178" i="5"/>
  <c r="L178" i="5"/>
  <c r="K178" i="5"/>
  <c r="J178" i="5"/>
  <c r="I178" i="5"/>
  <c r="H178" i="5"/>
  <c r="G178" i="5"/>
  <c r="F178" i="5"/>
  <c r="E178" i="5"/>
  <c r="D178" i="5"/>
  <c r="C178" i="5"/>
  <c r="B178" i="5"/>
  <c r="A178" i="5"/>
  <c r="AE177" i="5"/>
  <c r="AD177" i="5"/>
  <c r="AC177" i="5"/>
  <c r="AB177" i="5"/>
  <c r="AA177" i="5"/>
  <c r="Z177" i="5"/>
  <c r="Y177" i="5"/>
  <c r="X177" i="5"/>
  <c r="W177" i="5"/>
  <c r="V177" i="5"/>
  <c r="U177" i="5"/>
  <c r="T177" i="5"/>
  <c r="S177" i="5"/>
  <c r="R177" i="5"/>
  <c r="Q177" i="5"/>
  <c r="P177" i="5"/>
  <c r="O177" i="5"/>
  <c r="N177" i="5"/>
  <c r="M177" i="5"/>
  <c r="L177" i="5"/>
  <c r="K177" i="5"/>
  <c r="J177" i="5"/>
  <c r="I177" i="5"/>
  <c r="H177" i="5"/>
  <c r="G177" i="5"/>
  <c r="F177" i="5"/>
  <c r="E177" i="5"/>
  <c r="D177" i="5"/>
  <c r="C177" i="5"/>
  <c r="B177" i="5"/>
  <c r="A177" i="5"/>
  <c r="AE176" i="5"/>
  <c r="AD176" i="5"/>
  <c r="AC176" i="5"/>
  <c r="AB176" i="5"/>
  <c r="AA176" i="5"/>
  <c r="Z176" i="5"/>
  <c r="Y176" i="5"/>
  <c r="X176" i="5"/>
  <c r="W176" i="5"/>
  <c r="V176" i="5"/>
  <c r="U176" i="5"/>
  <c r="T176" i="5"/>
  <c r="S176" i="5"/>
  <c r="R176" i="5"/>
  <c r="Q176" i="5"/>
  <c r="P176" i="5"/>
  <c r="O176" i="5"/>
  <c r="N176" i="5"/>
  <c r="M176" i="5"/>
  <c r="L176" i="5"/>
  <c r="K176" i="5"/>
  <c r="J176" i="5"/>
  <c r="I176" i="5"/>
  <c r="H176" i="5"/>
  <c r="G176" i="5"/>
  <c r="F176" i="5"/>
  <c r="E176" i="5"/>
  <c r="D176" i="5"/>
  <c r="C176" i="5"/>
  <c r="B176" i="5"/>
  <c r="A176" i="5"/>
  <c r="AE175" i="5"/>
  <c r="AD175" i="5"/>
  <c r="AC175" i="5"/>
  <c r="AB175" i="5"/>
  <c r="AA175" i="5"/>
  <c r="Z175" i="5"/>
  <c r="Y175" i="5"/>
  <c r="X175" i="5"/>
  <c r="W175" i="5"/>
  <c r="V175" i="5"/>
  <c r="U175" i="5"/>
  <c r="T175" i="5"/>
  <c r="S175" i="5"/>
  <c r="R175" i="5"/>
  <c r="Q175" i="5"/>
  <c r="P175" i="5"/>
  <c r="O175" i="5"/>
  <c r="N175" i="5"/>
  <c r="M175" i="5"/>
  <c r="L175" i="5"/>
  <c r="K175" i="5"/>
  <c r="J175" i="5"/>
  <c r="I175" i="5"/>
  <c r="H175" i="5"/>
  <c r="G175" i="5"/>
  <c r="F175" i="5"/>
  <c r="E175" i="5"/>
  <c r="D175" i="5"/>
  <c r="C175" i="5"/>
  <c r="B175" i="5"/>
  <c r="A175" i="5"/>
  <c r="AE174" i="5"/>
  <c r="AD174" i="5"/>
  <c r="AC174" i="5"/>
  <c r="AB174" i="5"/>
  <c r="AA174" i="5"/>
  <c r="Z174" i="5"/>
  <c r="Y174" i="5"/>
  <c r="X174" i="5"/>
  <c r="W174" i="5"/>
  <c r="V174" i="5"/>
  <c r="U174" i="5"/>
  <c r="T174" i="5"/>
  <c r="S174" i="5"/>
  <c r="R174" i="5"/>
  <c r="Q174" i="5"/>
  <c r="P174" i="5"/>
  <c r="O174" i="5"/>
  <c r="N174" i="5"/>
  <c r="M174" i="5"/>
  <c r="L174" i="5"/>
  <c r="K174" i="5"/>
  <c r="J174" i="5"/>
  <c r="I174" i="5"/>
  <c r="H174" i="5"/>
  <c r="G174" i="5"/>
  <c r="F174" i="5"/>
  <c r="E174" i="5"/>
  <c r="D174" i="5"/>
  <c r="C174" i="5"/>
  <c r="B174" i="5"/>
  <c r="A174" i="5"/>
  <c r="AE173" i="5"/>
  <c r="AD173" i="5"/>
  <c r="AC173" i="5"/>
  <c r="AB173" i="5"/>
  <c r="AA173" i="5"/>
  <c r="Z173" i="5"/>
  <c r="Y173" i="5"/>
  <c r="X173" i="5"/>
  <c r="W173" i="5"/>
  <c r="V173" i="5"/>
  <c r="U173" i="5"/>
  <c r="T173" i="5"/>
  <c r="S173" i="5"/>
  <c r="R173" i="5"/>
  <c r="Q173" i="5"/>
  <c r="P173" i="5"/>
  <c r="O173" i="5"/>
  <c r="N173" i="5"/>
  <c r="M173" i="5"/>
  <c r="L173" i="5"/>
  <c r="K173" i="5"/>
  <c r="J173" i="5"/>
  <c r="I173" i="5"/>
  <c r="H173" i="5"/>
  <c r="G173" i="5"/>
  <c r="F173" i="5"/>
  <c r="E173" i="5"/>
  <c r="D173" i="5"/>
  <c r="C173" i="5"/>
  <c r="B173" i="5"/>
  <c r="A173" i="5"/>
  <c r="AE172" i="5"/>
  <c r="AD172" i="5"/>
  <c r="AC172" i="5"/>
  <c r="AB172" i="5"/>
  <c r="AA172" i="5"/>
  <c r="Z172" i="5"/>
  <c r="Y172" i="5"/>
  <c r="X172" i="5"/>
  <c r="W172" i="5"/>
  <c r="V172" i="5"/>
  <c r="U172" i="5"/>
  <c r="T172" i="5"/>
  <c r="S172" i="5"/>
  <c r="R172" i="5"/>
  <c r="Q172" i="5"/>
  <c r="P172" i="5"/>
  <c r="O172" i="5"/>
  <c r="N172" i="5"/>
  <c r="M172" i="5"/>
  <c r="L172" i="5"/>
  <c r="K172" i="5"/>
  <c r="J172" i="5"/>
  <c r="I172" i="5"/>
  <c r="H172" i="5"/>
  <c r="G172" i="5"/>
  <c r="F172" i="5"/>
  <c r="E172" i="5"/>
  <c r="D172" i="5"/>
  <c r="C172" i="5"/>
  <c r="B172" i="5"/>
  <c r="A172" i="5"/>
  <c r="AE171" i="5"/>
  <c r="AD171" i="5"/>
  <c r="AC171" i="5"/>
  <c r="AB171" i="5"/>
  <c r="AA171" i="5"/>
  <c r="Z171" i="5"/>
  <c r="Y171" i="5"/>
  <c r="X171" i="5"/>
  <c r="W171" i="5"/>
  <c r="V171" i="5"/>
  <c r="U171" i="5"/>
  <c r="T171" i="5"/>
  <c r="S171" i="5"/>
  <c r="R171" i="5"/>
  <c r="Q171" i="5"/>
  <c r="P171" i="5"/>
  <c r="O171" i="5"/>
  <c r="N171" i="5"/>
  <c r="M171" i="5"/>
  <c r="L171" i="5"/>
  <c r="K171" i="5"/>
  <c r="J171" i="5"/>
  <c r="I171" i="5"/>
  <c r="H171" i="5"/>
  <c r="G171" i="5"/>
  <c r="F171" i="5"/>
  <c r="E171" i="5"/>
  <c r="D171" i="5"/>
  <c r="C171" i="5"/>
  <c r="B171" i="5"/>
  <c r="A171" i="5"/>
  <c r="AE170" i="5"/>
  <c r="AD170" i="5"/>
  <c r="AC170" i="5"/>
  <c r="AB170" i="5"/>
  <c r="AA170" i="5"/>
  <c r="Z170" i="5"/>
  <c r="Y170" i="5"/>
  <c r="X170" i="5"/>
  <c r="W170" i="5"/>
  <c r="V170" i="5"/>
  <c r="U170" i="5"/>
  <c r="T170" i="5"/>
  <c r="S170" i="5"/>
  <c r="R170" i="5"/>
  <c r="Q170" i="5"/>
  <c r="P170" i="5"/>
  <c r="O170" i="5"/>
  <c r="N170" i="5"/>
  <c r="M170" i="5"/>
  <c r="L170" i="5"/>
  <c r="K170" i="5"/>
  <c r="J170" i="5"/>
  <c r="I170" i="5"/>
  <c r="H170" i="5"/>
  <c r="G170" i="5"/>
  <c r="F170" i="5"/>
  <c r="E170" i="5"/>
  <c r="D170" i="5"/>
  <c r="C170" i="5"/>
  <c r="B170" i="5"/>
  <c r="A170" i="5"/>
  <c r="AE169" i="5"/>
  <c r="AD169" i="5"/>
  <c r="AC169" i="5"/>
  <c r="AB169" i="5"/>
  <c r="AA169" i="5"/>
  <c r="Z169" i="5"/>
  <c r="Y169" i="5"/>
  <c r="X169" i="5"/>
  <c r="W169" i="5"/>
  <c r="V169" i="5"/>
  <c r="U169" i="5"/>
  <c r="T169" i="5"/>
  <c r="S169" i="5"/>
  <c r="R169" i="5"/>
  <c r="Q169" i="5"/>
  <c r="P169" i="5"/>
  <c r="O169" i="5"/>
  <c r="N169" i="5"/>
  <c r="M169" i="5"/>
  <c r="L169" i="5"/>
  <c r="K169" i="5"/>
  <c r="J169" i="5"/>
  <c r="I169" i="5"/>
  <c r="H169" i="5"/>
  <c r="G169" i="5"/>
  <c r="F169" i="5"/>
  <c r="E169" i="5"/>
  <c r="D169" i="5"/>
  <c r="C169" i="5"/>
  <c r="B169" i="5"/>
  <c r="A169" i="5"/>
  <c r="AE168" i="5"/>
  <c r="AD168" i="5"/>
  <c r="AC168" i="5"/>
  <c r="AB168" i="5"/>
  <c r="AA168" i="5"/>
  <c r="Z168" i="5"/>
  <c r="Y168" i="5"/>
  <c r="X168" i="5"/>
  <c r="W168" i="5"/>
  <c r="V168" i="5"/>
  <c r="U168" i="5"/>
  <c r="T168" i="5"/>
  <c r="S168" i="5"/>
  <c r="R168" i="5"/>
  <c r="Q168" i="5"/>
  <c r="P168" i="5"/>
  <c r="O168" i="5"/>
  <c r="N168" i="5"/>
  <c r="M168" i="5"/>
  <c r="L168" i="5"/>
  <c r="K168" i="5"/>
  <c r="J168" i="5"/>
  <c r="I168" i="5"/>
  <c r="H168" i="5"/>
  <c r="G168" i="5"/>
  <c r="F168" i="5"/>
  <c r="E168" i="5"/>
  <c r="D168" i="5"/>
  <c r="C168" i="5"/>
  <c r="B168" i="5"/>
  <c r="A168" i="5"/>
  <c r="AE167" i="5"/>
  <c r="AD167" i="5"/>
  <c r="AC167" i="5"/>
  <c r="AB167" i="5"/>
  <c r="AA167" i="5"/>
  <c r="Z167" i="5"/>
  <c r="Y167" i="5"/>
  <c r="X167" i="5"/>
  <c r="W167" i="5"/>
  <c r="V167" i="5"/>
  <c r="U167" i="5"/>
  <c r="T167" i="5"/>
  <c r="S167" i="5"/>
  <c r="R167" i="5"/>
  <c r="Q167" i="5"/>
  <c r="P167" i="5"/>
  <c r="O167" i="5"/>
  <c r="N167" i="5"/>
  <c r="M167" i="5"/>
  <c r="L167" i="5"/>
  <c r="K167" i="5"/>
  <c r="J167" i="5"/>
  <c r="I167" i="5"/>
  <c r="H167" i="5"/>
  <c r="G167" i="5"/>
  <c r="F167" i="5"/>
  <c r="E167" i="5"/>
  <c r="D167" i="5"/>
  <c r="C167" i="5"/>
  <c r="B167" i="5"/>
  <c r="A167" i="5"/>
  <c r="AE166" i="5"/>
  <c r="AD166" i="5"/>
  <c r="AC166" i="5"/>
  <c r="AB166" i="5"/>
  <c r="AA166" i="5"/>
  <c r="Z166" i="5"/>
  <c r="Y166" i="5"/>
  <c r="X166" i="5"/>
  <c r="W166" i="5"/>
  <c r="V166" i="5"/>
  <c r="U166" i="5"/>
  <c r="T166" i="5"/>
  <c r="S166" i="5"/>
  <c r="R166" i="5"/>
  <c r="Q166" i="5"/>
  <c r="P166" i="5"/>
  <c r="O166" i="5"/>
  <c r="N166" i="5"/>
  <c r="M166" i="5"/>
  <c r="L166" i="5"/>
  <c r="K166" i="5"/>
  <c r="J166" i="5"/>
  <c r="I166" i="5"/>
  <c r="H166" i="5"/>
  <c r="G166" i="5"/>
  <c r="F166" i="5"/>
  <c r="E166" i="5"/>
  <c r="D166" i="5"/>
  <c r="C166" i="5"/>
  <c r="B166" i="5"/>
  <c r="A166" i="5"/>
  <c r="AE165" i="5"/>
  <c r="AD165" i="5"/>
  <c r="AC165" i="5"/>
  <c r="AB165" i="5"/>
  <c r="AA165" i="5"/>
  <c r="Z165" i="5"/>
  <c r="Y165" i="5"/>
  <c r="X165" i="5"/>
  <c r="W165" i="5"/>
  <c r="V165" i="5"/>
  <c r="U165" i="5"/>
  <c r="T165" i="5"/>
  <c r="S165" i="5"/>
  <c r="R165" i="5"/>
  <c r="Q165" i="5"/>
  <c r="P165" i="5"/>
  <c r="O165" i="5"/>
  <c r="N165" i="5"/>
  <c r="M165" i="5"/>
  <c r="L165" i="5"/>
  <c r="K165" i="5"/>
  <c r="J165" i="5"/>
  <c r="I165" i="5"/>
  <c r="H165" i="5"/>
  <c r="G165" i="5"/>
  <c r="F165" i="5"/>
  <c r="E165" i="5"/>
  <c r="D165" i="5"/>
  <c r="C165" i="5"/>
  <c r="B165" i="5"/>
  <c r="A165" i="5"/>
  <c r="AE164" i="5"/>
  <c r="AD164" i="5"/>
  <c r="AC164" i="5"/>
  <c r="AB164" i="5"/>
  <c r="AA164" i="5"/>
  <c r="Z164" i="5"/>
  <c r="Y164" i="5"/>
  <c r="X164" i="5"/>
  <c r="W164" i="5"/>
  <c r="V164" i="5"/>
  <c r="U164" i="5"/>
  <c r="T164" i="5"/>
  <c r="S164" i="5"/>
  <c r="R164" i="5"/>
  <c r="Q164" i="5"/>
  <c r="P164" i="5"/>
  <c r="O164" i="5"/>
  <c r="N164" i="5"/>
  <c r="M164" i="5"/>
  <c r="L164" i="5"/>
  <c r="K164" i="5"/>
  <c r="J164" i="5"/>
  <c r="I164" i="5"/>
  <c r="H164" i="5"/>
  <c r="G164" i="5"/>
  <c r="F164" i="5"/>
  <c r="E164" i="5"/>
  <c r="D164" i="5"/>
  <c r="C164" i="5"/>
  <c r="B164" i="5"/>
  <c r="A164" i="5"/>
  <c r="AE163" i="5"/>
  <c r="AD163" i="5"/>
  <c r="AC163" i="5"/>
  <c r="AB163" i="5"/>
  <c r="AA163" i="5"/>
  <c r="Z163" i="5"/>
  <c r="Y163" i="5"/>
  <c r="X163" i="5"/>
  <c r="W163" i="5"/>
  <c r="V163" i="5"/>
  <c r="U163" i="5"/>
  <c r="T163" i="5"/>
  <c r="S163" i="5"/>
  <c r="R163" i="5"/>
  <c r="Q163" i="5"/>
  <c r="P163" i="5"/>
  <c r="O163" i="5"/>
  <c r="N163" i="5"/>
  <c r="M163" i="5"/>
  <c r="L163" i="5"/>
  <c r="K163" i="5"/>
  <c r="J163" i="5"/>
  <c r="I163" i="5"/>
  <c r="H163" i="5"/>
  <c r="G163" i="5"/>
  <c r="F163" i="5"/>
  <c r="E163" i="5"/>
  <c r="D163" i="5"/>
  <c r="C163" i="5"/>
  <c r="B163" i="5"/>
  <c r="A163" i="5"/>
  <c r="AE162" i="5"/>
  <c r="AD162" i="5"/>
  <c r="AC162" i="5"/>
  <c r="AB162" i="5"/>
  <c r="AA162" i="5"/>
  <c r="Z162" i="5"/>
  <c r="Y162" i="5"/>
  <c r="X162" i="5"/>
  <c r="W162" i="5"/>
  <c r="V162" i="5"/>
  <c r="U162" i="5"/>
  <c r="T162" i="5"/>
  <c r="S162" i="5"/>
  <c r="R162" i="5"/>
  <c r="Q162" i="5"/>
  <c r="P162" i="5"/>
  <c r="O162" i="5"/>
  <c r="N162" i="5"/>
  <c r="M162" i="5"/>
  <c r="L162" i="5"/>
  <c r="K162" i="5"/>
  <c r="J162" i="5"/>
  <c r="I162" i="5"/>
  <c r="H162" i="5"/>
  <c r="G162" i="5"/>
  <c r="F162" i="5"/>
  <c r="E162" i="5"/>
  <c r="D162" i="5"/>
  <c r="C162" i="5"/>
  <c r="B162" i="5"/>
  <c r="A162" i="5"/>
  <c r="AE161" i="5"/>
  <c r="AD161" i="5"/>
  <c r="AC161" i="5"/>
  <c r="AB161" i="5"/>
  <c r="AA161" i="5"/>
  <c r="Z161" i="5"/>
  <c r="Y161" i="5"/>
  <c r="X161" i="5"/>
  <c r="W161" i="5"/>
  <c r="V161" i="5"/>
  <c r="U161" i="5"/>
  <c r="T161" i="5"/>
  <c r="S161" i="5"/>
  <c r="R161" i="5"/>
  <c r="Q161" i="5"/>
  <c r="P161" i="5"/>
  <c r="O161" i="5"/>
  <c r="N161" i="5"/>
  <c r="M161" i="5"/>
  <c r="L161" i="5"/>
  <c r="K161" i="5"/>
  <c r="J161" i="5"/>
  <c r="I161" i="5"/>
  <c r="H161" i="5"/>
  <c r="G161" i="5"/>
  <c r="F161" i="5"/>
  <c r="E161" i="5"/>
  <c r="D161" i="5"/>
  <c r="C161" i="5"/>
  <c r="B161" i="5"/>
  <c r="A161" i="5"/>
  <c r="AE160" i="5"/>
  <c r="AD160" i="5"/>
  <c r="AC160" i="5"/>
  <c r="AB160" i="5"/>
  <c r="AA160" i="5"/>
  <c r="Z160" i="5"/>
  <c r="Y160" i="5"/>
  <c r="X160" i="5"/>
  <c r="W160" i="5"/>
  <c r="V160" i="5"/>
  <c r="U160" i="5"/>
  <c r="T160" i="5"/>
  <c r="S160" i="5"/>
  <c r="R160" i="5"/>
  <c r="Q160" i="5"/>
  <c r="P160" i="5"/>
  <c r="O160" i="5"/>
  <c r="N160" i="5"/>
  <c r="M160" i="5"/>
  <c r="L160" i="5"/>
  <c r="K160" i="5"/>
  <c r="J160" i="5"/>
  <c r="I160" i="5"/>
  <c r="H160" i="5"/>
  <c r="G160" i="5"/>
  <c r="F160" i="5"/>
  <c r="E160" i="5"/>
  <c r="D160" i="5"/>
  <c r="C160" i="5"/>
  <c r="B160" i="5"/>
  <c r="A160" i="5"/>
  <c r="AE159" i="5"/>
  <c r="AD159" i="5"/>
  <c r="AC159" i="5"/>
  <c r="AB159" i="5"/>
  <c r="AA159" i="5"/>
  <c r="Z159" i="5"/>
  <c r="Y159" i="5"/>
  <c r="X159" i="5"/>
  <c r="W159" i="5"/>
  <c r="V159" i="5"/>
  <c r="U159" i="5"/>
  <c r="T159" i="5"/>
  <c r="S159" i="5"/>
  <c r="R159" i="5"/>
  <c r="Q159" i="5"/>
  <c r="P159" i="5"/>
  <c r="O159" i="5"/>
  <c r="N159" i="5"/>
  <c r="M159" i="5"/>
  <c r="L159" i="5"/>
  <c r="K159" i="5"/>
  <c r="J159" i="5"/>
  <c r="I159" i="5"/>
  <c r="H159" i="5"/>
  <c r="G159" i="5"/>
  <c r="F159" i="5"/>
  <c r="E159" i="5"/>
  <c r="D159" i="5"/>
  <c r="C159" i="5"/>
  <c r="B159" i="5"/>
  <c r="A159" i="5"/>
  <c r="AE158" i="5"/>
  <c r="AD158" i="5"/>
  <c r="AC158" i="5"/>
  <c r="AB158" i="5"/>
  <c r="AA158" i="5"/>
  <c r="Z158" i="5"/>
  <c r="Y158" i="5"/>
  <c r="X158" i="5"/>
  <c r="W158" i="5"/>
  <c r="V158" i="5"/>
  <c r="U158" i="5"/>
  <c r="T158" i="5"/>
  <c r="S158" i="5"/>
  <c r="R158" i="5"/>
  <c r="Q158" i="5"/>
  <c r="P158" i="5"/>
  <c r="O158" i="5"/>
  <c r="N158" i="5"/>
  <c r="M158" i="5"/>
  <c r="L158" i="5"/>
  <c r="K158" i="5"/>
  <c r="J158" i="5"/>
  <c r="I158" i="5"/>
  <c r="H158" i="5"/>
  <c r="G158" i="5"/>
  <c r="F158" i="5"/>
  <c r="E158" i="5"/>
  <c r="D158" i="5"/>
  <c r="C158" i="5"/>
  <c r="B158" i="5"/>
  <c r="A158" i="5"/>
  <c r="AE157" i="5"/>
  <c r="AD157" i="5"/>
  <c r="AC157" i="5"/>
  <c r="AB157" i="5"/>
  <c r="AA157" i="5"/>
  <c r="Z157" i="5"/>
  <c r="Y157" i="5"/>
  <c r="X157" i="5"/>
  <c r="W157" i="5"/>
  <c r="V157" i="5"/>
  <c r="U157" i="5"/>
  <c r="T157" i="5"/>
  <c r="S157" i="5"/>
  <c r="R157" i="5"/>
  <c r="Q157" i="5"/>
  <c r="P157" i="5"/>
  <c r="O157" i="5"/>
  <c r="N157" i="5"/>
  <c r="M157" i="5"/>
  <c r="L157" i="5"/>
  <c r="K157" i="5"/>
  <c r="J157" i="5"/>
  <c r="I157" i="5"/>
  <c r="H157" i="5"/>
  <c r="G157" i="5"/>
  <c r="F157" i="5"/>
  <c r="E157" i="5"/>
  <c r="D157" i="5"/>
  <c r="C157" i="5"/>
  <c r="B157" i="5"/>
  <c r="A157" i="5"/>
  <c r="AE156" i="5"/>
  <c r="AD156" i="5"/>
  <c r="AC156" i="5"/>
  <c r="AB156" i="5"/>
  <c r="AA156" i="5"/>
  <c r="Z156" i="5"/>
  <c r="Y156" i="5"/>
  <c r="X156" i="5"/>
  <c r="W156" i="5"/>
  <c r="V156" i="5"/>
  <c r="U156" i="5"/>
  <c r="T156" i="5"/>
  <c r="S156" i="5"/>
  <c r="R156" i="5"/>
  <c r="Q156" i="5"/>
  <c r="P156" i="5"/>
  <c r="O156" i="5"/>
  <c r="N156" i="5"/>
  <c r="M156" i="5"/>
  <c r="L156" i="5"/>
  <c r="K156" i="5"/>
  <c r="J156" i="5"/>
  <c r="I156" i="5"/>
  <c r="H156" i="5"/>
  <c r="G156" i="5"/>
  <c r="F156" i="5"/>
  <c r="E156" i="5"/>
  <c r="D156" i="5"/>
  <c r="C156" i="5"/>
  <c r="B156" i="5"/>
  <c r="A156" i="5"/>
  <c r="AE155" i="5"/>
  <c r="AD155" i="5"/>
  <c r="AC155" i="5"/>
  <c r="AB155" i="5"/>
  <c r="AA155" i="5"/>
  <c r="Z155" i="5"/>
  <c r="Y155" i="5"/>
  <c r="X155" i="5"/>
  <c r="W155" i="5"/>
  <c r="V155" i="5"/>
  <c r="U155" i="5"/>
  <c r="T155" i="5"/>
  <c r="S155" i="5"/>
  <c r="R155" i="5"/>
  <c r="Q155" i="5"/>
  <c r="P155" i="5"/>
  <c r="O155" i="5"/>
  <c r="N155" i="5"/>
  <c r="M155" i="5"/>
  <c r="L155" i="5"/>
  <c r="K155" i="5"/>
  <c r="J155" i="5"/>
  <c r="I155" i="5"/>
  <c r="H155" i="5"/>
  <c r="G155" i="5"/>
  <c r="F155" i="5"/>
  <c r="E155" i="5"/>
  <c r="D155" i="5"/>
  <c r="C155" i="5"/>
  <c r="B155" i="5"/>
  <c r="A155" i="5"/>
  <c r="AE154" i="5"/>
  <c r="AD154" i="5"/>
  <c r="AC154" i="5"/>
  <c r="AB154" i="5"/>
  <c r="AA154" i="5"/>
  <c r="Z154" i="5"/>
  <c r="Y154" i="5"/>
  <c r="X154" i="5"/>
  <c r="W154" i="5"/>
  <c r="V154" i="5"/>
  <c r="U154" i="5"/>
  <c r="T154" i="5"/>
  <c r="S154" i="5"/>
  <c r="R154" i="5"/>
  <c r="Q154" i="5"/>
  <c r="P154" i="5"/>
  <c r="O154" i="5"/>
  <c r="N154" i="5"/>
  <c r="M154" i="5"/>
  <c r="L154" i="5"/>
  <c r="K154" i="5"/>
  <c r="J154" i="5"/>
  <c r="I154" i="5"/>
  <c r="H154" i="5"/>
  <c r="G154" i="5"/>
  <c r="F154" i="5"/>
  <c r="E154" i="5"/>
  <c r="D154" i="5"/>
  <c r="C154" i="5"/>
  <c r="B154" i="5"/>
  <c r="A154" i="5"/>
  <c r="AE153" i="5"/>
  <c r="AD153" i="5"/>
  <c r="AC153" i="5"/>
  <c r="AB153" i="5"/>
  <c r="AA153" i="5"/>
  <c r="Z153" i="5"/>
  <c r="Y153" i="5"/>
  <c r="X153" i="5"/>
  <c r="W153" i="5"/>
  <c r="V153" i="5"/>
  <c r="U153" i="5"/>
  <c r="T153" i="5"/>
  <c r="S153" i="5"/>
  <c r="R153" i="5"/>
  <c r="Q153" i="5"/>
  <c r="P153" i="5"/>
  <c r="O153" i="5"/>
  <c r="N153" i="5"/>
  <c r="M153" i="5"/>
  <c r="L153" i="5"/>
  <c r="K153" i="5"/>
  <c r="J153" i="5"/>
  <c r="I153" i="5"/>
  <c r="H153" i="5"/>
  <c r="G153" i="5"/>
  <c r="F153" i="5"/>
  <c r="E153" i="5"/>
  <c r="D153" i="5"/>
  <c r="C153" i="5"/>
  <c r="B153" i="5"/>
  <c r="A153" i="5"/>
  <c r="AE152" i="5"/>
  <c r="AD152" i="5"/>
  <c r="AC152" i="5"/>
  <c r="AB152" i="5"/>
  <c r="AA152" i="5"/>
  <c r="Z152" i="5"/>
  <c r="Y152" i="5"/>
  <c r="X152" i="5"/>
  <c r="W152" i="5"/>
  <c r="V152" i="5"/>
  <c r="U152" i="5"/>
  <c r="T152" i="5"/>
  <c r="S152" i="5"/>
  <c r="R152" i="5"/>
  <c r="Q152" i="5"/>
  <c r="P152" i="5"/>
  <c r="O152" i="5"/>
  <c r="N152" i="5"/>
  <c r="M152" i="5"/>
  <c r="L152" i="5"/>
  <c r="K152" i="5"/>
  <c r="J152" i="5"/>
  <c r="I152" i="5"/>
  <c r="H152" i="5"/>
  <c r="G152" i="5"/>
  <c r="F152" i="5"/>
  <c r="E152" i="5"/>
  <c r="D152" i="5"/>
  <c r="C152" i="5"/>
  <c r="B152" i="5"/>
  <c r="A152" i="5"/>
  <c r="AE151" i="5"/>
  <c r="AD151" i="5"/>
  <c r="AC151" i="5"/>
  <c r="AB151" i="5"/>
  <c r="AA151" i="5"/>
  <c r="Z151" i="5"/>
  <c r="Y151" i="5"/>
  <c r="X151" i="5"/>
  <c r="W151" i="5"/>
  <c r="V151" i="5"/>
  <c r="U151" i="5"/>
  <c r="T151" i="5"/>
  <c r="S151" i="5"/>
  <c r="R151" i="5"/>
  <c r="Q151" i="5"/>
  <c r="P151" i="5"/>
  <c r="O151" i="5"/>
  <c r="N151" i="5"/>
  <c r="M151" i="5"/>
  <c r="L151" i="5"/>
  <c r="K151" i="5"/>
  <c r="J151" i="5"/>
  <c r="I151" i="5"/>
  <c r="H151" i="5"/>
  <c r="G151" i="5"/>
  <c r="F151" i="5"/>
  <c r="E151" i="5"/>
  <c r="D151" i="5"/>
  <c r="C151" i="5"/>
  <c r="B151" i="5"/>
  <c r="A151" i="5"/>
  <c r="AE150" i="5"/>
  <c r="AD150" i="5"/>
  <c r="AC150" i="5"/>
  <c r="AB150" i="5"/>
  <c r="AA150" i="5"/>
  <c r="Z150" i="5"/>
  <c r="Y150" i="5"/>
  <c r="X150" i="5"/>
  <c r="W150" i="5"/>
  <c r="V150" i="5"/>
  <c r="U150" i="5"/>
  <c r="T150" i="5"/>
  <c r="S150" i="5"/>
  <c r="R150" i="5"/>
  <c r="Q150" i="5"/>
  <c r="P150" i="5"/>
  <c r="O150" i="5"/>
  <c r="N150" i="5"/>
  <c r="M150" i="5"/>
  <c r="L150" i="5"/>
  <c r="K150" i="5"/>
  <c r="J150" i="5"/>
  <c r="I150" i="5"/>
  <c r="H150" i="5"/>
  <c r="G150" i="5"/>
  <c r="F150" i="5"/>
  <c r="E150" i="5"/>
  <c r="D150" i="5"/>
  <c r="C150" i="5"/>
  <c r="B150" i="5"/>
  <c r="A150" i="5"/>
  <c r="AE149" i="5"/>
  <c r="AD149" i="5"/>
  <c r="AC149" i="5"/>
  <c r="AB149" i="5"/>
  <c r="AA149" i="5"/>
  <c r="Z149" i="5"/>
  <c r="Y149" i="5"/>
  <c r="X149" i="5"/>
  <c r="W149" i="5"/>
  <c r="V149" i="5"/>
  <c r="U149" i="5"/>
  <c r="T149" i="5"/>
  <c r="S149" i="5"/>
  <c r="R149" i="5"/>
  <c r="Q149" i="5"/>
  <c r="P149" i="5"/>
  <c r="O149" i="5"/>
  <c r="N149" i="5"/>
  <c r="M149" i="5"/>
  <c r="L149" i="5"/>
  <c r="K149" i="5"/>
  <c r="J149" i="5"/>
  <c r="I149" i="5"/>
  <c r="H149" i="5"/>
  <c r="G149" i="5"/>
  <c r="F149" i="5"/>
  <c r="E149" i="5"/>
  <c r="D149" i="5"/>
  <c r="C149" i="5"/>
  <c r="B149" i="5"/>
  <c r="A149" i="5"/>
  <c r="AE148" i="5"/>
  <c r="AD148" i="5"/>
  <c r="AC148" i="5"/>
  <c r="AB148" i="5"/>
  <c r="AA148" i="5"/>
  <c r="Z148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F148" i="5"/>
  <c r="E148" i="5"/>
  <c r="D148" i="5"/>
  <c r="C148" i="5"/>
  <c r="B148" i="5"/>
  <c r="A148" i="5"/>
  <c r="AE147" i="5"/>
  <c r="AD147" i="5"/>
  <c r="AC147" i="5"/>
  <c r="Z147" i="5"/>
  <c r="Y147" i="5"/>
  <c r="X147" i="5"/>
  <c r="W147" i="5"/>
  <c r="V147" i="5"/>
  <c r="U147" i="5"/>
  <c r="T147" i="5"/>
  <c r="S147" i="5"/>
  <c r="R147" i="5"/>
  <c r="Q147" i="5"/>
  <c r="P147" i="5"/>
  <c r="O147" i="5"/>
  <c r="N147" i="5"/>
  <c r="M147" i="5"/>
  <c r="L147" i="5"/>
  <c r="K147" i="5"/>
  <c r="J147" i="5"/>
  <c r="I147" i="5"/>
  <c r="H147" i="5"/>
  <c r="G147" i="5"/>
  <c r="F147" i="5"/>
  <c r="E147" i="5"/>
  <c r="D147" i="5"/>
  <c r="C147" i="5"/>
  <c r="B147" i="5"/>
  <c r="A147" i="5"/>
  <c r="AE146" i="5"/>
  <c r="AD146" i="5"/>
  <c r="AC146" i="5"/>
  <c r="AB146" i="5"/>
  <c r="AA146" i="5"/>
  <c r="Z146" i="5"/>
  <c r="Y146" i="5"/>
  <c r="X146" i="5"/>
  <c r="W146" i="5"/>
  <c r="V146" i="5"/>
  <c r="U146" i="5"/>
  <c r="T146" i="5"/>
  <c r="S146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D146" i="5"/>
  <c r="C146" i="5"/>
  <c r="B146" i="5"/>
  <c r="A146" i="5"/>
  <c r="AE145" i="5"/>
  <c r="AD145" i="5"/>
  <c r="AC145" i="5"/>
  <c r="AB145" i="5"/>
  <c r="AA145" i="5"/>
  <c r="Z145" i="5"/>
  <c r="Y145" i="5"/>
  <c r="X145" i="5"/>
  <c r="W145" i="5"/>
  <c r="V145" i="5"/>
  <c r="U145" i="5"/>
  <c r="T145" i="5"/>
  <c r="S145" i="5"/>
  <c r="R145" i="5"/>
  <c r="Q145" i="5"/>
  <c r="P145" i="5"/>
  <c r="O145" i="5"/>
  <c r="N145" i="5"/>
  <c r="M145" i="5"/>
  <c r="L145" i="5"/>
  <c r="K145" i="5"/>
  <c r="J145" i="5"/>
  <c r="I145" i="5"/>
  <c r="H145" i="5"/>
  <c r="G145" i="5"/>
  <c r="F145" i="5"/>
  <c r="E145" i="5"/>
  <c r="D145" i="5"/>
  <c r="C145" i="5"/>
  <c r="B145" i="5"/>
  <c r="A145" i="5"/>
  <c r="AE144" i="5"/>
  <c r="AD144" i="5"/>
  <c r="AC144" i="5"/>
  <c r="AB144" i="5"/>
  <c r="AA144" i="5"/>
  <c r="Z144" i="5"/>
  <c r="Y144" i="5"/>
  <c r="X144" i="5"/>
  <c r="W144" i="5"/>
  <c r="V144" i="5"/>
  <c r="U144" i="5"/>
  <c r="T144" i="5"/>
  <c r="S144" i="5"/>
  <c r="R144" i="5"/>
  <c r="Q144" i="5"/>
  <c r="P144" i="5"/>
  <c r="O144" i="5"/>
  <c r="N144" i="5"/>
  <c r="M144" i="5"/>
  <c r="L144" i="5"/>
  <c r="K144" i="5"/>
  <c r="J144" i="5"/>
  <c r="I144" i="5"/>
  <c r="H144" i="5"/>
  <c r="G144" i="5"/>
  <c r="F144" i="5"/>
  <c r="E144" i="5"/>
  <c r="D144" i="5"/>
  <c r="C144" i="5"/>
  <c r="B144" i="5"/>
  <c r="A144" i="5"/>
  <c r="AE143" i="5"/>
  <c r="AD143" i="5"/>
  <c r="AC143" i="5"/>
  <c r="AB143" i="5"/>
  <c r="AA143" i="5"/>
  <c r="Z143" i="5"/>
  <c r="Y143" i="5"/>
  <c r="X143" i="5"/>
  <c r="W143" i="5"/>
  <c r="V143" i="5"/>
  <c r="U143" i="5"/>
  <c r="T143" i="5"/>
  <c r="S143" i="5"/>
  <c r="R143" i="5"/>
  <c r="Q143" i="5"/>
  <c r="P143" i="5"/>
  <c r="O143" i="5"/>
  <c r="N143" i="5"/>
  <c r="M143" i="5"/>
  <c r="L143" i="5"/>
  <c r="K143" i="5"/>
  <c r="J143" i="5"/>
  <c r="I143" i="5"/>
  <c r="H143" i="5"/>
  <c r="G143" i="5"/>
  <c r="F143" i="5"/>
  <c r="E143" i="5"/>
  <c r="D143" i="5"/>
  <c r="C143" i="5"/>
  <c r="B143" i="5"/>
  <c r="A143" i="5"/>
  <c r="AE142" i="5"/>
  <c r="AC142" i="5"/>
  <c r="AB142" i="5"/>
  <c r="AA142" i="5"/>
  <c r="Z142" i="5"/>
  <c r="Y142" i="5"/>
  <c r="V142" i="5"/>
  <c r="T142" i="5"/>
  <c r="S142" i="5"/>
  <c r="R142" i="5"/>
  <c r="P142" i="5"/>
  <c r="O142" i="5"/>
  <c r="N142" i="5"/>
  <c r="L142" i="5"/>
  <c r="K142" i="5"/>
  <c r="I142" i="5"/>
  <c r="H142" i="5"/>
  <c r="G142" i="5"/>
  <c r="E142" i="5"/>
  <c r="D142" i="5"/>
  <c r="C142" i="5"/>
  <c r="B142" i="5"/>
  <c r="A142" i="5"/>
  <c r="AE141" i="5"/>
  <c r="AD141" i="5"/>
  <c r="AC141" i="5"/>
  <c r="AB141" i="5"/>
  <c r="AA141" i="5"/>
  <c r="Z141" i="5"/>
  <c r="Y141" i="5"/>
  <c r="X141" i="5"/>
  <c r="W141" i="5"/>
  <c r="V141" i="5"/>
  <c r="U141" i="5"/>
  <c r="T141" i="5"/>
  <c r="S141" i="5"/>
  <c r="R141" i="5"/>
  <c r="Q141" i="5"/>
  <c r="P141" i="5"/>
  <c r="O141" i="5"/>
  <c r="N141" i="5"/>
  <c r="M141" i="5"/>
  <c r="L141" i="5"/>
  <c r="K141" i="5"/>
  <c r="J141" i="5"/>
  <c r="I141" i="5"/>
  <c r="H141" i="5"/>
  <c r="G141" i="5"/>
  <c r="F141" i="5"/>
  <c r="E141" i="5"/>
  <c r="D141" i="5"/>
  <c r="C141" i="5"/>
  <c r="B141" i="5"/>
  <c r="A141" i="5"/>
  <c r="AE140" i="5"/>
  <c r="AD140" i="5"/>
  <c r="AC140" i="5"/>
  <c r="AB140" i="5"/>
  <c r="AA140" i="5"/>
  <c r="Z140" i="5"/>
  <c r="Y140" i="5"/>
  <c r="X140" i="5"/>
  <c r="W140" i="5"/>
  <c r="V140" i="5"/>
  <c r="U140" i="5"/>
  <c r="T140" i="5"/>
  <c r="S140" i="5"/>
  <c r="R140" i="5"/>
  <c r="Q140" i="5"/>
  <c r="P140" i="5"/>
  <c r="O140" i="5"/>
  <c r="N140" i="5"/>
  <c r="M140" i="5"/>
  <c r="L140" i="5"/>
  <c r="K140" i="5"/>
  <c r="J140" i="5"/>
  <c r="I140" i="5"/>
  <c r="H140" i="5"/>
  <c r="G140" i="5"/>
  <c r="F140" i="5"/>
  <c r="E140" i="5"/>
  <c r="D140" i="5"/>
  <c r="C140" i="5"/>
  <c r="B140" i="5"/>
  <c r="A140" i="5"/>
  <c r="AE139" i="5"/>
  <c r="AD139" i="5"/>
  <c r="AC139" i="5"/>
  <c r="AB139" i="5"/>
  <c r="AA139" i="5"/>
  <c r="Z139" i="5"/>
  <c r="Y139" i="5"/>
  <c r="X139" i="5"/>
  <c r="W139" i="5"/>
  <c r="V139" i="5"/>
  <c r="U139" i="5"/>
  <c r="T139" i="5"/>
  <c r="S139" i="5"/>
  <c r="R139" i="5"/>
  <c r="Q139" i="5"/>
  <c r="P139" i="5"/>
  <c r="O139" i="5"/>
  <c r="N139" i="5"/>
  <c r="M139" i="5"/>
  <c r="L139" i="5"/>
  <c r="K139" i="5"/>
  <c r="J139" i="5"/>
  <c r="I139" i="5"/>
  <c r="H139" i="5"/>
  <c r="G139" i="5"/>
  <c r="F139" i="5"/>
  <c r="E139" i="5"/>
  <c r="D139" i="5"/>
  <c r="C139" i="5"/>
  <c r="B139" i="5"/>
  <c r="A139" i="5"/>
  <c r="AE138" i="5"/>
  <c r="AD138" i="5"/>
  <c r="AC138" i="5"/>
  <c r="AB138" i="5"/>
  <c r="AA138" i="5"/>
  <c r="Z138" i="5"/>
  <c r="Y138" i="5"/>
  <c r="X138" i="5"/>
  <c r="W138" i="5"/>
  <c r="V138" i="5"/>
  <c r="U138" i="5"/>
  <c r="T138" i="5"/>
  <c r="S138" i="5"/>
  <c r="R138" i="5"/>
  <c r="Q138" i="5"/>
  <c r="P138" i="5"/>
  <c r="O138" i="5"/>
  <c r="N138" i="5"/>
  <c r="M138" i="5"/>
  <c r="L138" i="5"/>
  <c r="K138" i="5"/>
  <c r="J138" i="5"/>
  <c r="I138" i="5"/>
  <c r="H138" i="5"/>
  <c r="G138" i="5"/>
  <c r="F138" i="5"/>
  <c r="E138" i="5"/>
  <c r="D138" i="5"/>
  <c r="C138" i="5"/>
  <c r="B138" i="5"/>
  <c r="A138" i="5"/>
  <c r="AE137" i="5"/>
  <c r="AD137" i="5"/>
  <c r="AC137" i="5"/>
  <c r="AB137" i="5"/>
  <c r="AA137" i="5"/>
  <c r="Z137" i="5"/>
  <c r="Y137" i="5"/>
  <c r="X137" i="5"/>
  <c r="W137" i="5"/>
  <c r="V137" i="5"/>
  <c r="U137" i="5"/>
  <c r="T137" i="5"/>
  <c r="S137" i="5"/>
  <c r="R137" i="5"/>
  <c r="Q137" i="5"/>
  <c r="P137" i="5"/>
  <c r="O137" i="5"/>
  <c r="N137" i="5"/>
  <c r="M137" i="5"/>
  <c r="L137" i="5"/>
  <c r="K137" i="5"/>
  <c r="J137" i="5"/>
  <c r="I137" i="5"/>
  <c r="H137" i="5"/>
  <c r="G137" i="5"/>
  <c r="F137" i="5"/>
  <c r="E137" i="5"/>
  <c r="D137" i="5"/>
  <c r="C137" i="5"/>
  <c r="B137" i="5"/>
  <c r="A137" i="5"/>
  <c r="AE136" i="5"/>
  <c r="AD136" i="5"/>
  <c r="AC136" i="5"/>
  <c r="AB136" i="5"/>
  <c r="AA136" i="5"/>
  <c r="Z136" i="5"/>
  <c r="Y136" i="5"/>
  <c r="X136" i="5"/>
  <c r="W136" i="5"/>
  <c r="V136" i="5"/>
  <c r="U136" i="5"/>
  <c r="T136" i="5"/>
  <c r="S136" i="5"/>
  <c r="R136" i="5"/>
  <c r="Q136" i="5"/>
  <c r="P136" i="5"/>
  <c r="O136" i="5"/>
  <c r="N136" i="5"/>
  <c r="M136" i="5"/>
  <c r="L136" i="5"/>
  <c r="K136" i="5"/>
  <c r="J136" i="5"/>
  <c r="I136" i="5"/>
  <c r="H136" i="5"/>
  <c r="G136" i="5"/>
  <c r="F136" i="5"/>
  <c r="E136" i="5"/>
  <c r="D136" i="5"/>
  <c r="C136" i="5"/>
  <c r="B136" i="5"/>
  <c r="A136" i="5"/>
  <c r="AE135" i="5"/>
  <c r="AD135" i="5"/>
  <c r="AC135" i="5"/>
  <c r="AB135" i="5"/>
  <c r="AA135" i="5"/>
  <c r="Z135" i="5"/>
  <c r="Y135" i="5"/>
  <c r="X135" i="5"/>
  <c r="W135" i="5"/>
  <c r="V135" i="5"/>
  <c r="U135" i="5"/>
  <c r="T135" i="5"/>
  <c r="S135" i="5"/>
  <c r="R135" i="5"/>
  <c r="Q135" i="5"/>
  <c r="P135" i="5"/>
  <c r="O135" i="5"/>
  <c r="N135" i="5"/>
  <c r="M135" i="5"/>
  <c r="L135" i="5"/>
  <c r="K135" i="5"/>
  <c r="J135" i="5"/>
  <c r="I135" i="5"/>
  <c r="H135" i="5"/>
  <c r="G135" i="5"/>
  <c r="F135" i="5"/>
  <c r="E135" i="5"/>
  <c r="D135" i="5"/>
  <c r="C135" i="5"/>
  <c r="B135" i="5"/>
  <c r="A135" i="5"/>
  <c r="AE134" i="5"/>
  <c r="AD134" i="5"/>
  <c r="AC134" i="5"/>
  <c r="AB134" i="5"/>
  <c r="AA134" i="5"/>
  <c r="Z134" i="5"/>
  <c r="Y134" i="5"/>
  <c r="X134" i="5"/>
  <c r="W134" i="5"/>
  <c r="V134" i="5"/>
  <c r="U134" i="5"/>
  <c r="T134" i="5"/>
  <c r="S134" i="5"/>
  <c r="R134" i="5"/>
  <c r="Q134" i="5"/>
  <c r="P134" i="5"/>
  <c r="O134" i="5"/>
  <c r="N134" i="5"/>
  <c r="M134" i="5"/>
  <c r="L134" i="5"/>
  <c r="K134" i="5"/>
  <c r="J134" i="5"/>
  <c r="I134" i="5"/>
  <c r="H134" i="5"/>
  <c r="G134" i="5"/>
  <c r="F134" i="5"/>
  <c r="E134" i="5"/>
  <c r="D134" i="5"/>
  <c r="C134" i="5"/>
  <c r="B134" i="5"/>
  <c r="A134" i="5"/>
  <c r="AE133" i="5"/>
  <c r="AD133" i="5"/>
  <c r="AC133" i="5"/>
  <c r="AB133" i="5"/>
  <c r="AA133" i="5"/>
  <c r="Z133" i="5"/>
  <c r="Y133" i="5"/>
  <c r="X133" i="5"/>
  <c r="W133" i="5"/>
  <c r="V133" i="5"/>
  <c r="U133" i="5"/>
  <c r="T133" i="5"/>
  <c r="S133" i="5"/>
  <c r="R133" i="5"/>
  <c r="Q133" i="5"/>
  <c r="P133" i="5"/>
  <c r="O133" i="5"/>
  <c r="N133" i="5"/>
  <c r="M133" i="5"/>
  <c r="L133" i="5"/>
  <c r="K133" i="5"/>
  <c r="J133" i="5"/>
  <c r="I133" i="5"/>
  <c r="H133" i="5"/>
  <c r="G133" i="5"/>
  <c r="F133" i="5"/>
  <c r="E133" i="5"/>
  <c r="D133" i="5"/>
  <c r="C133" i="5"/>
  <c r="B133" i="5"/>
  <c r="A133" i="5"/>
  <c r="AE132" i="5"/>
  <c r="AD132" i="5"/>
  <c r="AC132" i="5"/>
  <c r="AB132" i="5"/>
  <c r="AA132" i="5"/>
  <c r="Z132" i="5"/>
  <c r="Y132" i="5"/>
  <c r="X132" i="5"/>
  <c r="W132" i="5"/>
  <c r="V132" i="5"/>
  <c r="U132" i="5"/>
  <c r="T132" i="5"/>
  <c r="S132" i="5"/>
  <c r="R132" i="5"/>
  <c r="Q132" i="5"/>
  <c r="P132" i="5"/>
  <c r="O132" i="5"/>
  <c r="N132" i="5"/>
  <c r="M132" i="5"/>
  <c r="L132" i="5"/>
  <c r="K132" i="5"/>
  <c r="J132" i="5"/>
  <c r="I132" i="5"/>
  <c r="H132" i="5"/>
  <c r="G132" i="5"/>
  <c r="F132" i="5"/>
  <c r="E132" i="5"/>
  <c r="D132" i="5"/>
  <c r="C132" i="5"/>
  <c r="B132" i="5"/>
  <c r="A132" i="5"/>
  <c r="AE131" i="5"/>
  <c r="AD131" i="5"/>
  <c r="AC131" i="5"/>
  <c r="AB131" i="5"/>
  <c r="AA131" i="5"/>
  <c r="Z131" i="5"/>
  <c r="Y131" i="5"/>
  <c r="X131" i="5"/>
  <c r="W131" i="5"/>
  <c r="V131" i="5"/>
  <c r="U131" i="5"/>
  <c r="T131" i="5"/>
  <c r="S131" i="5"/>
  <c r="R131" i="5"/>
  <c r="Q131" i="5"/>
  <c r="P131" i="5"/>
  <c r="O131" i="5"/>
  <c r="N131" i="5"/>
  <c r="M131" i="5"/>
  <c r="L131" i="5"/>
  <c r="K131" i="5"/>
  <c r="J131" i="5"/>
  <c r="I131" i="5"/>
  <c r="H131" i="5"/>
  <c r="G131" i="5"/>
  <c r="F131" i="5"/>
  <c r="E131" i="5"/>
  <c r="D131" i="5"/>
  <c r="C131" i="5"/>
  <c r="B131" i="5"/>
  <c r="A131" i="5"/>
  <c r="AE130" i="5"/>
  <c r="AD130" i="5"/>
  <c r="AC130" i="5"/>
  <c r="AB130" i="5"/>
  <c r="AA130" i="5"/>
  <c r="Z130" i="5"/>
  <c r="Y130" i="5"/>
  <c r="X130" i="5"/>
  <c r="W130" i="5"/>
  <c r="V130" i="5"/>
  <c r="U130" i="5"/>
  <c r="T130" i="5"/>
  <c r="S130" i="5"/>
  <c r="R130" i="5"/>
  <c r="Q130" i="5"/>
  <c r="P130" i="5"/>
  <c r="O130" i="5"/>
  <c r="N130" i="5"/>
  <c r="M130" i="5"/>
  <c r="L130" i="5"/>
  <c r="K130" i="5"/>
  <c r="J130" i="5"/>
  <c r="I130" i="5"/>
  <c r="H130" i="5"/>
  <c r="G130" i="5"/>
  <c r="F130" i="5"/>
  <c r="E130" i="5"/>
  <c r="D130" i="5"/>
  <c r="C130" i="5"/>
  <c r="B130" i="5"/>
  <c r="A130" i="5"/>
  <c r="AE129" i="5"/>
  <c r="AD129" i="5"/>
  <c r="AC129" i="5"/>
  <c r="AB129" i="5"/>
  <c r="AA129" i="5"/>
  <c r="Z129" i="5"/>
  <c r="Y129" i="5"/>
  <c r="X129" i="5"/>
  <c r="W129" i="5"/>
  <c r="V129" i="5"/>
  <c r="U129" i="5"/>
  <c r="T129" i="5"/>
  <c r="S129" i="5"/>
  <c r="R129" i="5"/>
  <c r="Q129" i="5"/>
  <c r="P129" i="5"/>
  <c r="O129" i="5"/>
  <c r="N129" i="5"/>
  <c r="M129" i="5"/>
  <c r="L129" i="5"/>
  <c r="K129" i="5"/>
  <c r="J129" i="5"/>
  <c r="I129" i="5"/>
  <c r="H129" i="5"/>
  <c r="G129" i="5"/>
  <c r="F129" i="5"/>
  <c r="E129" i="5"/>
  <c r="D129" i="5"/>
  <c r="C129" i="5"/>
  <c r="B129" i="5"/>
  <c r="A129" i="5"/>
  <c r="AE128" i="5"/>
  <c r="AD128" i="5"/>
  <c r="AC128" i="5"/>
  <c r="AB128" i="5"/>
  <c r="AA128" i="5"/>
  <c r="Z128" i="5"/>
  <c r="Y128" i="5"/>
  <c r="X128" i="5"/>
  <c r="W128" i="5"/>
  <c r="V128" i="5"/>
  <c r="U128" i="5"/>
  <c r="T128" i="5"/>
  <c r="S128" i="5"/>
  <c r="R128" i="5"/>
  <c r="Q128" i="5"/>
  <c r="P128" i="5"/>
  <c r="O128" i="5"/>
  <c r="N128" i="5"/>
  <c r="M128" i="5"/>
  <c r="L128" i="5"/>
  <c r="K128" i="5"/>
  <c r="J128" i="5"/>
  <c r="I128" i="5"/>
  <c r="H128" i="5"/>
  <c r="G128" i="5"/>
  <c r="F128" i="5"/>
  <c r="E128" i="5"/>
  <c r="D128" i="5"/>
  <c r="C128" i="5"/>
  <c r="B128" i="5"/>
  <c r="A128" i="5"/>
  <c r="AE127" i="5"/>
  <c r="AD127" i="5"/>
  <c r="AC127" i="5"/>
  <c r="AB127" i="5"/>
  <c r="AA127" i="5"/>
  <c r="Z127" i="5"/>
  <c r="Y127" i="5"/>
  <c r="X127" i="5"/>
  <c r="W127" i="5"/>
  <c r="V127" i="5"/>
  <c r="U127" i="5"/>
  <c r="T127" i="5"/>
  <c r="S127" i="5"/>
  <c r="R127" i="5"/>
  <c r="Q127" i="5"/>
  <c r="P127" i="5"/>
  <c r="O127" i="5"/>
  <c r="N127" i="5"/>
  <c r="M127" i="5"/>
  <c r="L127" i="5"/>
  <c r="K127" i="5"/>
  <c r="J127" i="5"/>
  <c r="I127" i="5"/>
  <c r="H127" i="5"/>
  <c r="G127" i="5"/>
  <c r="F127" i="5"/>
  <c r="E127" i="5"/>
  <c r="D127" i="5"/>
  <c r="C127" i="5"/>
  <c r="B127" i="5"/>
  <c r="A127" i="5"/>
  <c r="AE126" i="5"/>
  <c r="AD126" i="5"/>
  <c r="AC126" i="5"/>
  <c r="AB126" i="5"/>
  <c r="AA126" i="5"/>
  <c r="Z126" i="5"/>
  <c r="Y126" i="5"/>
  <c r="X126" i="5"/>
  <c r="W126" i="5"/>
  <c r="V126" i="5"/>
  <c r="U126" i="5"/>
  <c r="T126" i="5"/>
  <c r="S126" i="5"/>
  <c r="R126" i="5"/>
  <c r="Q126" i="5"/>
  <c r="P126" i="5"/>
  <c r="O126" i="5"/>
  <c r="N126" i="5"/>
  <c r="M126" i="5"/>
  <c r="L126" i="5"/>
  <c r="K126" i="5"/>
  <c r="J126" i="5"/>
  <c r="I126" i="5"/>
  <c r="H126" i="5"/>
  <c r="G126" i="5"/>
  <c r="F126" i="5"/>
  <c r="E126" i="5"/>
  <c r="D126" i="5"/>
  <c r="C126" i="5"/>
  <c r="B126" i="5"/>
  <c r="A126" i="5"/>
  <c r="AE125" i="5"/>
  <c r="AD125" i="5"/>
  <c r="AC125" i="5"/>
  <c r="AB125" i="5"/>
  <c r="AA125" i="5"/>
  <c r="Z125" i="5"/>
  <c r="Y125" i="5"/>
  <c r="X125" i="5"/>
  <c r="W125" i="5"/>
  <c r="V125" i="5"/>
  <c r="U125" i="5"/>
  <c r="T125" i="5"/>
  <c r="S125" i="5"/>
  <c r="R125" i="5"/>
  <c r="Q125" i="5"/>
  <c r="P125" i="5"/>
  <c r="O125" i="5"/>
  <c r="N125" i="5"/>
  <c r="M125" i="5"/>
  <c r="L125" i="5"/>
  <c r="K125" i="5"/>
  <c r="J125" i="5"/>
  <c r="I125" i="5"/>
  <c r="H125" i="5"/>
  <c r="G125" i="5"/>
  <c r="F125" i="5"/>
  <c r="E125" i="5"/>
  <c r="D125" i="5"/>
  <c r="C125" i="5"/>
  <c r="B125" i="5"/>
  <c r="A125" i="5"/>
  <c r="AE124" i="5"/>
  <c r="AD124" i="5"/>
  <c r="AC124" i="5"/>
  <c r="AB124" i="5"/>
  <c r="AA124" i="5"/>
  <c r="Z124" i="5"/>
  <c r="Y124" i="5"/>
  <c r="X124" i="5"/>
  <c r="W124" i="5"/>
  <c r="V124" i="5"/>
  <c r="U124" i="5"/>
  <c r="T124" i="5"/>
  <c r="S124" i="5"/>
  <c r="R124" i="5"/>
  <c r="Q124" i="5"/>
  <c r="P124" i="5"/>
  <c r="O124" i="5"/>
  <c r="N124" i="5"/>
  <c r="M124" i="5"/>
  <c r="L124" i="5"/>
  <c r="K124" i="5"/>
  <c r="J124" i="5"/>
  <c r="I124" i="5"/>
  <c r="H124" i="5"/>
  <c r="G124" i="5"/>
  <c r="F124" i="5"/>
  <c r="E124" i="5"/>
  <c r="D124" i="5"/>
  <c r="C124" i="5"/>
  <c r="B124" i="5"/>
  <c r="A124" i="5"/>
  <c r="AE123" i="5"/>
  <c r="AD123" i="5"/>
  <c r="AC123" i="5"/>
  <c r="AB123" i="5"/>
  <c r="AA123" i="5"/>
  <c r="Z123" i="5"/>
  <c r="Y123" i="5"/>
  <c r="X123" i="5"/>
  <c r="W123" i="5"/>
  <c r="V123" i="5"/>
  <c r="U123" i="5"/>
  <c r="T123" i="5"/>
  <c r="S123" i="5"/>
  <c r="R123" i="5"/>
  <c r="Q123" i="5"/>
  <c r="P123" i="5"/>
  <c r="O123" i="5"/>
  <c r="N123" i="5"/>
  <c r="M123" i="5"/>
  <c r="L123" i="5"/>
  <c r="K123" i="5"/>
  <c r="J123" i="5"/>
  <c r="I123" i="5"/>
  <c r="H123" i="5"/>
  <c r="G123" i="5"/>
  <c r="F123" i="5"/>
  <c r="E123" i="5"/>
  <c r="D123" i="5"/>
  <c r="C123" i="5"/>
  <c r="B123" i="5"/>
  <c r="A123" i="5"/>
  <c r="AE122" i="5"/>
  <c r="AD122" i="5"/>
  <c r="AC122" i="5"/>
  <c r="AB122" i="5"/>
  <c r="AA122" i="5"/>
  <c r="Z122" i="5"/>
  <c r="Y122" i="5"/>
  <c r="X122" i="5"/>
  <c r="W122" i="5"/>
  <c r="V122" i="5"/>
  <c r="U122" i="5"/>
  <c r="T122" i="5"/>
  <c r="S122" i="5"/>
  <c r="R122" i="5"/>
  <c r="Q122" i="5"/>
  <c r="P122" i="5"/>
  <c r="O122" i="5"/>
  <c r="N122" i="5"/>
  <c r="M122" i="5"/>
  <c r="L122" i="5"/>
  <c r="K122" i="5"/>
  <c r="J122" i="5"/>
  <c r="I122" i="5"/>
  <c r="H122" i="5"/>
  <c r="G122" i="5"/>
  <c r="F122" i="5"/>
  <c r="E122" i="5"/>
  <c r="D122" i="5"/>
  <c r="C122" i="5"/>
  <c r="B122" i="5"/>
  <c r="A122" i="5"/>
  <c r="AE121" i="5"/>
  <c r="AD121" i="5"/>
  <c r="AC121" i="5"/>
  <c r="AB121" i="5"/>
  <c r="AA121" i="5"/>
  <c r="Z121" i="5"/>
  <c r="Y121" i="5"/>
  <c r="X121" i="5"/>
  <c r="W121" i="5"/>
  <c r="V121" i="5"/>
  <c r="U121" i="5"/>
  <c r="T121" i="5"/>
  <c r="S121" i="5"/>
  <c r="R121" i="5"/>
  <c r="Q121" i="5"/>
  <c r="P121" i="5"/>
  <c r="O121" i="5"/>
  <c r="N121" i="5"/>
  <c r="M121" i="5"/>
  <c r="L121" i="5"/>
  <c r="K121" i="5"/>
  <c r="J121" i="5"/>
  <c r="I121" i="5"/>
  <c r="H121" i="5"/>
  <c r="G121" i="5"/>
  <c r="F121" i="5"/>
  <c r="E121" i="5"/>
  <c r="D121" i="5"/>
  <c r="C121" i="5"/>
  <c r="B121" i="5"/>
  <c r="A121" i="5"/>
  <c r="AE120" i="5"/>
  <c r="AD120" i="5"/>
  <c r="AC120" i="5"/>
  <c r="AB120" i="5"/>
  <c r="AA120" i="5"/>
  <c r="Z120" i="5"/>
  <c r="Y120" i="5"/>
  <c r="X120" i="5"/>
  <c r="W120" i="5"/>
  <c r="V120" i="5"/>
  <c r="U120" i="5"/>
  <c r="T120" i="5"/>
  <c r="S120" i="5"/>
  <c r="R120" i="5"/>
  <c r="Q120" i="5"/>
  <c r="P120" i="5"/>
  <c r="O120" i="5"/>
  <c r="N120" i="5"/>
  <c r="M120" i="5"/>
  <c r="L120" i="5"/>
  <c r="K120" i="5"/>
  <c r="J120" i="5"/>
  <c r="I120" i="5"/>
  <c r="H120" i="5"/>
  <c r="G120" i="5"/>
  <c r="F120" i="5"/>
  <c r="E120" i="5"/>
  <c r="D120" i="5"/>
  <c r="C120" i="5"/>
  <c r="B120" i="5"/>
  <c r="A120" i="5"/>
  <c r="AE119" i="5"/>
  <c r="AD119" i="5"/>
  <c r="AC119" i="5"/>
  <c r="AB119" i="5"/>
  <c r="AA119" i="5"/>
  <c r="Z119" i="5"/>
  <c r="Y119" i="5"/>
  <c r="X119" i="5"/>
  <c r="W119" i="5"/>
  <c r="V119" i="5"/>
  <c r="U119" i="5"/>
  <c r="T119" i="5"/>
  <c r="S119" i="5"/>
  <c r="R119" i="5"/>
  <c r="Q119" i="5"/>
  <c r="P119" i="5"/>
  <c r="O119" i="5"/>
  <c r="N119" i="5"/>
  <c r="M119" i="5"/>
  <c r="L119" i="5"/>
  <c r="K119" i="5"/>
  <c r="J119" i="5"/>
  <c r="I119" i="5"/>
  <c r="H119" i="5"/>
  <c r="G119" i="5"/>
  <c r="F119" i="5"/>
  <c r="E119" i="5"/>
  <c r="D119" i="5"/>
  <c r="C119" i="5"/>
  <c r="B119" i="5"/>
  <c r="A119" i="5"/>
  <c r="AE118" i="5"/>
  <c r="AD118" i="5"/>
  <c r="AC118" i="5"/>
  <c r="AB118" i="5"/>
  <c r="AA118" i="5"/>
  <c r="Z118" i="5"/>
  <c r="Y118" i="5"/>
  <c r="X118" i="5"/>
  <c r="W118" i="5"/>
  <c r="V118" i="5"/>
  <c r="U118" i="5"/>
  <c r="T118" i="5"/>
  <c r="S118" i="5"/>
  <c r="R118" i="5"/>
  <c r="Q118" i="5"/>
  <c r="P118" i="5"/>
  <c r="O118" i="5"/>
  <c r="N118" i="5"/>
  <c r="M118" i="5"/>
  <c r="L118" i="5"/>
  <c r="K118" i="5"/>
  <c r="J118" i="5"/>
  <c r="I118" i="5"/>
  <c r="H118" i="5"/>
  <c r="G118" i="5"/>
  <c r="F118" i="5"/>
  <c r="E118" i="5"/>
  <c r="D118" i="5"/>
  <c r="C118" i="5"/>
  <c r="B118" i="5"/>
  <c r="A118" i="5"/>
  <c r="AE117" i="5"/>
  <c r="AD117" i="5"/>
  <c r="AC117" i="5"/>
  <c r="AB117" i="5"/>
  <c r="AA117" i="5"/>
  <c r="Z117" i="5"/>
  <c r="Y117" i="5"/>
  <c r="X117" i="5"/>
  <c r="W117" i="5"/>
  <c r="V117" i="5"/>
  <c r="U117" i="5"/>
  <c r="T117" i="5"/>
  <c r="S117" i="5"/>
  <c r="R117" i="5"/>
  <c r="Q117" i="5"/>
  <c r="P117" i="5"/>
  <c r="O117" i="5"/>
  <c r="N117" i="5"/>
  <c r="M117" i="5"/>
  <c r="L117" i="5"/>
  <c r="K117" i="5"/>
  <c r="J117" i="5"/>
  <c r="I117" i="5"/>
  <c r="H117" i="5"/>
  <c r="G117" i="5"/>
  <c r="F117" i="5"/>
  <c r="E117" i="5"/>
  <c r="D117" i="5"/>
  <c r="C117" i="5"/>
  <c r="B117" i="5"/>
  <c r="A117" i="5"/>
  <c r="AE116" i="5"/>
  <c r="AD116" i="5"/>
  <c r="AC116" i="5"/>
  <c r="AB116" i="5"/>
  <c r="AA116" i="5"/>
  <c r="Z116" i="5"/>
  <c r="Y116" i="5"/>
  <c r="X116" i="5"/>
  <c r="W116" i="5"/>
  <c r="V116" i="5"/>
  <c r="U116" i="5"/>
  <c r="T116" i="5"/>
  <c r="S116" i="5"/>
  <c r="R116" i="5"/>
  <c r="Q116" i="5"/>
  <c r="P116" i="5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B116" i="5"/>
  <c r="A116" i="5"/>
  <c r="AE115" i="5"/>
  <c r="AD115" i="5"/>
  <c r="AC115" i="5"/>
  <c r="AB115" i="5"/>
  <c r="AA115" i="5"/>
  <c r="Z115" i="5"/>
  <c r="Y115" i="5"/>
  <c r="X115" i="5"/>
  <c r="W115" i="5"/>
  <c r="V115" i="5"/>
  <c r="U115" i="5"/>
  <c r="T115" i="5"/>
  <c r="S115" i="5"/>
  <c r="R115" i="5"/>
  <c r="Q115" i="5"/>
  <c r="P115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B115" i="5"/>
  <c r="A115" i="5"/>
  <c r="AE114" i="5"/>
  <c r="AD114" i="5"/>
  <c r="AC114" i="5"/>
  <c r="AB114" i="5"/>
  <c r="AA114" i="5"/>
  <c r="Z114" i="5"/>
  <c r="Y114" i="5"/>
  <c r="X114" i="5"/>
  <c r="W114" i="5"/>
  <c r="V114" i="5"/>
  <c r="U114" i="5"/>
  <c r="T114" i="5"/>
  <c r="S114" i="5"/>
  <c r="R114" i="5"/>
  <c r="Q114" i="5"/>
  <c r="P114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B114" i="5"/>
  <c r="A114" i="5"/>
  <c r="AE113" i="5"/>
  <c r="AD113" i="5"/>
  <c r="AC113" i="5"/>
  <c r="AB113" i="5"/>
  <c r="AA113" i="5"/>
  <c r="Z113" i="5"/>
  <c r="Y113" i="5"/>
  <c r="X113" i="5"/>
  <c r="W113" i="5"/>
  <c r="V113" i="5"/>
  <c r="U113" i="5"/>
  <c r="T113" i="5"/>
  <c r="S113" i="5"/>
  <c r="R113" i="5"/>
  <c r="Q113" i="5"/>
  <c r="P113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B113" i="5"/>
  <c r="A113" i="5"/>
  <c r="AE112" i="5"/>
  <c r="AD112" i="5"/>
  <c r="AC112" i="5"/>
  <c r="AB112" i="5"/>
  <c r="AA112" i="5"/>
  <c r="Z112" i="5"/>
  <c r="Y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E112" i="5"/>
  <c r="D112" i="5"/>
  <c r="C112" i="5"/>
  <c r="B112" i="5"/>
  <c r="A112" i="5"/>
  <c r="AE111" i="5"/>
  <c r="AD111" i="5"/>
  <c r="AC111" i="5"/>
  <c r="AB111" i="5"/>
  <c r="AA111" i="5"/>
  <c r="Z111" i="5"/>
  <c r="Y111" i="5"/>
  <c r="X111" i="5"/>
  <c r="W111" i="5"/>
  <c r="V111" i="5"/>
  <c r="U111" i="5"/>
  <c r="T111" i="5"/>
  <c r="S111" i="5"/>
  <c r="R111" i="5"/>
  <c r="Q111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B111" i="5"/>
  <c r="A111" i="5"/>
  <c r="AE110" i="5"/>
  <c r="AD110" i="5"/>
  <c r="AC110" i="5"/>
  <c r="AB110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B110" i="5"/>
  <c r="A110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B109" i="5"/>
  <c r="A109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B108" i="5"/>
  <c r="A108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B107" i="5"/>
  <c r="A107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B106" i="5"/>
  <c r="A106" i="5"/>
  <c r="AE105" i="5"/>
  <c r="AD105" i="5"/>
  <c r="AC105" i="5"/>
  <c r="AB105" i="5"/>
  <c r="AA105" i="5"/>
  <c r="Z105" i="5"/>
  <c r="Y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E105" i="5"/>
  <c r="D105" i="5"/>
  <c r="C105" i="5"/>
  <c r="B105" i="5"/>
  <c r="A105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B104" i="5"/>
  <c r="A104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B103" i="5"/>
  <c r="A103" i="5"/>
  <c r="AE102" i="5"/>
  <c r="AD102" i="5"/>
  <c r="AC102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B102" i="5"/>
  <c r="A102" i="5"/>
  <c r="AE101" i="5"/>
  <c r="AD101" i="5"/>
  <c r="AC101" i="5"/>
  <c r="AB101" i="5"/>
  <c r="AA101" i="5"/>
  <c r="Z101" i="5"/>
  <c r="Y101" i="5"/>
  <c r="X101" i="5"/>
  <c r="W101" i="5"/>
  <c r="V101" i="5"/>
  <c r="U101" i="5"/>
  <c r="T101" i="5"/>
  <c r="S101" i="5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B101" i="5"/>
  <c r="A101" i="5"/>
  <c r="AE100" i="5"/>
  <c r="AD100" i="5"/>
  <c r="AC100" i="5"/>
  <c r="AB100" i="5"/>
  <c r="AA100" i="5"/>
  <c r="Z100" i="5"/>
  <c r="Y100" i="5"/>
  <c r="X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B100" i="5"/>
  <c r="A100" i="5"/>
  <c r="AE99" i="5"/>
  <c r="AD99" i="5"/>
  <c r="AC99" i="5"/>
  <c r="AB99" i="5"/>
  <c r="AA99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B99" i="5"/>
  <c r="A99" i="5"/>
  <c r="AE98" i="5"/>
  <c r="AD98" i="5"/>
  <c r="AC98" i="5"/>
  <c r="AB98" i="5"/>
  <c r="AA98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B98" i="5"/>
  <c r="A98" i="5"/>
  <c r="AE97" i="5"/>
  <c r="AD97" i="5"/>
  <c r="AC97" i="5"/>
  <c r="AB97" i="5"/>
  <c r="AA97" i="5"/>
  <c r="Z97" i="5"/>
  <c r="Y97" i="5"/>
  <c r="X97" i="5"/>
  <c r="W97" i="5"/>
  <c r="V97" i="5"/>
  <c r="U97" i="5"/>
  <c r="T97" i="5"/>
  <c r="S97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B97" i="5"/>
  <c r="A97" i="5"/>
  <c r="AE96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A96" i="5"/>
  <c r="AE95" i="5"/>
  <c r="AD95" i="5"/>
  <c r="AC95" i="5"/>
  <c r="AB95" i="5"/>
  <c r="AA95" i="5"/>
  <c r="Z95" i="5"/>
  <c r="Y95" i="5"/>
  <c r="X95" i="5"/>
  <c r="W95" i="5"/>
  <c r="V95" i="5"/>
  <c r="U95" i="5"/>
  <c r="T95" i="5"/>
  <c r="S95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B95" i="5"/>
  <c r="A95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B94" i="5"/>
  <c r="A94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B93" i="5"/>
  <c r="A93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B92" i="5"/>
  <c r="A92" i="5"/>
  <c r="AE91" i="5"/>
  <c r="AD91" i="5"/>
  <c r="AC91" i="5"/>
  <c r="AB91" i="5"/>
  <c r="AA91" i="5"/>
  <c r="Z91" i="5"/>
  <c r="Y91" i="5"/>
  <c r="X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B91" i="5"/>
  <c r="A91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B90" i="5"/>
  <c r="A90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A89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88" i="5"/>
  <c r="A88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A87" i="5"/>
  <c r="AE86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B86" i="5"/>
  <c r="A86" i="5"/>
  <c r="AE85" i="5"/>
  <c r="AD85" i="5"/>
  <c r="AC85" i="5"/>
  <c r="AB85" i="5"/>
  <c r="AA85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B85" i="5"/>
  <c r="A85" i="5"/>
  <c r="AE84" i="5"/>
  <c r="AD84" i="5"/>
  <c r="AC84" i="5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B84" i="5"/>
  <c r="A84" i="5"/>
  <c r="AE83" i="5"/>
  <c r="AD83" i="5"/>
  <c r="AC83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B83" i="5"/>
  <c r="A83" i="5"/>
  <c r="AE82" i="5"/>
  <c r="AD82" i="5"/>
  <c r="AC82" i="5"/>
  <c r="AB82" i="5"/>
  <c r="AA82" i="5"/>
  <c r="Z82" i="5"/>
  <c r="Y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E82" i="5"/>
  <c r="D82" i="5"/>
  <c r="B82" i="5"/>
  <c r="A82" i="5"/>
  <c r="AE81" i="5"/>
  <c r="AD81" i="5"/>
  <c r="AC81" i="5"/>
  <c r="AB81" i="5"/>
  <c r="AA81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B81" i="5"/>
  <c r="A81" i="5"/>
  <c r="AE80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A80" i="5"/>
  <c r="AE79" i="5"/>
  <c r="AD79" i="5"/>
  <c r="AC79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B79" i="5"/>
  <c r="A79" i="5"/>
  <c r="AE78" i="5"/>
  <c r="AD78" i="5"/>
  <c r="AC78" i="5"/>
  <c r="AB78" i="5"/>
  <c r="AA78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A78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B77" i="5"/>
  <c r="A77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B76" i="5"/>
  <c r="A76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B75" i="5"/>
  <c r="A75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B74" i="5"/>
  <c r="A74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B73" i="5"/>
  <c r="A73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B72" i="5"/>
  <c r="A72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B71" i="5"/>
  <c r="A71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B70" i="5"/>
  <c r="A70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A69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A68" i="5"/>
  <c r="AE67" i="5"/>
  <c r="AD67" i="5"/>
  <c r="AC67" i="5"/>
  <c r="AB67" i="5"/>
  <c r="AA67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B67" i="5"/>
  <c r="A67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A66" i="5"/>
  <c r="AE65" i="5"/>
  <c r="AD65" i="5"/>
  <c r="AC65" i="5"/>
  <c r="AB65" i="5"/>
  <c r="AA65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B65" i="5"/>
  <c r="A65" i="5"/>
  <c r="AE64" i="5"/>
  <c r="AD64" i="5"/>
  <c r="AC64" i="5"/>
  <c r="AB64" i="5"/>
  <c r="AA64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B64" i="5"/>
  <c r="A64" i="5"/>
  <c r="AE63" i="5"/>
  <c r="AD63" i="5"/>
  <c r="AC63" i="5"/>
  <c r="AB63" i="5"/>
  <c r="AA63" i="5"/>
  <c r="Z63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A63" i="5"/>
  <c r="AE62" i="5"/>
  <c r="AD62" i="5"/>
  <c r="AC62" i="5"/>
  <c r="AB62" i="5"/>
  <c r="AA62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B62" i="5"/>
  <c r="A62" i="5"/>
  <c r="AE61" i="5"/>
  <c r="AD61" i="5"/>
  <c r="AC61" i="5"/>
  <c r="AB61" i="5"/>
  <c r="AA61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A61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B60" i="5"/>
  <c r="A60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A59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B58" i="5"/>
  <c r="A58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B57" i="5"/>
  <c r="A57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56" i="5"/>
  <c r="A56" i="5"/>
  <c r="AE55" i="5"/>
  <c r="AC55" i="5"/>
  <c r="AB55" i="5"/>
  <c r="AA55" i="5"/>
  <c r="Z55" i="5"/>
  <c r="Y55" i="5"/>
  <c r="V55" i="5"/>
  <c r="T55" i="5"/>
  <c r="S55" i="5"/>
  <c r="R55" i="5"/>
  <c r="P55" i="5"/>
  <c r="N55" i="5"/>
  <c r="L55" i="5"/>
  <c r="K55" i="5"/>
  <c r="I55" i="5"/>
  <c r="H55" i="5"/>
  <c r="G55" i="5"/>
  <c r="E55" i="5"/>
  <c r="B55" i="5"/>
  <c r="A55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A54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A53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A52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A51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A50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A49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48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A47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A46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A45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A44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A43" i="5"/>
  <c r="AE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L42" i="5"/>
  <c r="K42" i="5"/>
  <c r="J42" i="5"/>
  <c r="I42" i="5"/>
  <c r="H42" i="5"/>
  <c r="G42" i="5"/>
  <c r="F42" i="5"/>
  <c r="E42" i="5"/>
  <c r="D42" i="5"/>
  <c r="C42" i="5"/>
  <c r="B42" i="5"/>
  <c r="A42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A41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A40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39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A38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A37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36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A35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34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A33" i="5"/>
  <c r="AE32" i="5"/>
  <c r="AC32" i="5"/>
  <c r="AB32" i="5"/>
  <c r="AA32" i="5"/>
  <c r="Z32" i="5"/>
  <c r="Y32" i="5"/>
  <c r="V32" i="5"/>
  <c r="T32" i="5"/>
  <c r="S32" i="5"/>
  <c r="R32" i="5"/>
  <c r="P32" i="5"/>
  <c r="N32" i="5"/>
  <c r="L32" i="5"/>
  <c r="K32" i="5"/>
  <c r="I32" i="5"/>
  <c r="H32" i="5"/>
  <c r="G32" i="5"/>
  <c r="F32" i="5"/>
  <c r="E32" i="5"/>
  <c r="B32" i="5"/>
  <c r="A32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31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30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29" i="5"/>
  <c r="AE28" i="5"/>
  <c r="AC28" i="5"/>
  <c r="AB28" i="5"/>
  <c r="AA28" i="5"/>
  <c r="Z28" i="5"/>
  <c r="Y28" i="5"/>
  <c r="W28" i="5"/>
  <c r="V28" i="5"/>
  <c r="T28" i="5"/>
  <c r="S28" i="5"/>
  <c r="R28" i="5"/>
  <c r="P28" i="5"/>
  <c r="O28" i="5"/>
  <c r="N28" i="5"/>
  <c r="L28" i="5"/>
  <c r="K28" i="5"/>
  <c r="I28" i="5"/>
  <c r="H28" i="5"/>
  <c r="G28" i="5"/>
  <c r="E28" i="5"/>
  <c r="D28" i="5"/>
  <c r="B28" i="5"/>
  <c r="A28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27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26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25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24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23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22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21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20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19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18" i="5"/>
  <c r="AE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L17" i="5"/>
  <c r="K17" i="5"/>
  <c r="J17" i="5"/>
  <c r="I17" i="5"/>
  <c r="H17" i="5"/>
  <c r="G17" i="5"/>
  <c r="F17" i="5"/>
  <c r="E17" i="5"/>
  <c r="D17" i="5"/>
  <c r="C17" i="5"/>
  <c r="B17" i="5"/>
  <c r="A17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16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15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14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13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12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11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10" i="5"/>
  <c r="AE9" i="5"/>
  <c r="AD9" i="5"/>
  <c r="AC9" i="5"/>
  <c r="Z9" i="5"/>
  <c r="Y9" i="5"/>
  <c r="X9" i="5"/>
  <c r="W9" i="5"/>
  <c r="U9" i="5"/>
  <c r="T9" i="5"/>
  <c r="Q9" i="5"/>
  <c r="O9" i="5"/>
  <c r="M9" i="5"/>
  <c r="L9" i="5"/>
  <c r="K9" i="5"/>
  <c r="J9" i="5"/>
  <c r="H9" i="5"/>
  <c r="F9" i="5"/>
  <c r="D9" i="5"/>
  <c r="C9" i="5"/>
  <c r="A9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8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7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6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5" i="5"/>
  <c r="AE4" i="5"/>
  <c r="AD4" i="5"/>
  <c r="AC4" i="5"/>
  <c r="AB4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A4" i="5"/>
  <c r="AE3" i="5"/>
  <c r="AD3" i="5"/>
  <c r="AC3" i="5"/>
  <c r="AB3" i="5"/>
  <c r="AA3" i="5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A3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2" i="5"/>
  <c r="AE1" i="5"/>
  <c r="AD1" i="5"/>
  <c r="AC1" i="5"/>
  <c r="AB1" i="5"/>
  <c r="AA1" i="5"/>
  <c r="Z1" i="5"/>
  <c r="Y1" i="5"/>
  <c r="X1" i="5"/>
  <c r="W1" i="5"/>
  <c r="V1" i="5"/>
  <c r="U1" i="5"/>
  <c r="T1" i="5"/>
  <c r="S1" i="5"/>
  <c r="R1" i="5"/>
  <c r="Q1" i="5"/>
  <c r="P1" i="5"/>
  <c r="O1" i="5"/>
  <c r="N1" i="5"/>
  <c r="M1" i="5"/>
  <c r="L1" i="5"/>
  <c r="K1" i="5"/>
  <c r="J1" i="5"/>
  <c r="I1" i="5"/>
  <c r="H1" i="5"/>
  <c r="G1" i="5"/>
  <c r="F1" i="5"/>
  <c r="E1" i="5"/>
  <c r="D1" i="5"/>
  <c r="C1" i="5"/>
  <c r="B1" i="5"/>
  <c r="A1" i="5"/>
  <c r="K61" i="4"/>
  <c r="J61" i="4"/>
  <c r="I61" i="4"/>
  <c r="C61" i="4"/>
  <c r="B61" i="4"/>
  <c r="A61" i="4"/>
  <c r="T61" i="4" s="1"/>
  <c r="K60" i="4"/>
  <c r="J60" i="4"/>
  <c r="I60" i="4"/>
  <c r="C60" i="4"/>
  <c r="B60" i="4"/>
  <c r="A60" i="4"/>
  <c r="R60" i="4" s="1"/>
  <c r="K59" i="4"/>
  <c r="J59" i="4"/>
  <c r="I59" i="4"/>
  <c r="C59" i="4"/>
  <c r="B59" i="4"/>
  <c r="A59" i="4"/>
  <c r="R59" i="4" s="1"/>
  <c r="K58" i="4"/>
  <c r="J58" i="4"/>
  <c r="I58" i="4"/>
  <c r="C58" i="4"/>
  <c r="B58" i="4"/>
  <c r="A58" i="4"/>
  <c r="S58" i="4" s="1"/>
  <c r="K57" i="4"/>
  <c r="J57" i="4"/>
  <c r="I57" i="4"/>
  <c r="C57" i="4"/>
  <c r="B57" i="4"/>
  <c r="A57" i="4"/>
  <c r="R57" i="4" s="1"/>
  <c r="K56" i="4"/>
  <c r="J56" i="4"/>
  <c r="I56" i="4"/>
  <c r="C56" i="4"/>
  <c r="B56" i="4"/>
  <c r="A56" i="4"/>
  <c r="S56" i="4" s="1"/>
  <c r="K55" i="4"/>
  <c r="J55" i="4"/>
  <c r="I55" i="4"/>
  <c r="C55" i="4"/>
  <c r="B55" i="4"/>
  <c r="A55" i="4"/>
  <c r="K54" i="4"/>
  <c r="J54" i="4"/>
  <c r="I54" i="4"/>
  <c r="C54" i="4"/>
  <c r="B54" i="4"/>
  <c r="A54" i="4"/>
  <c r="K53" i="4"/>
  <c r="J53" i="4"/>
  <c r="I53" i="4"/>
  <c r="C53" i="4"/>
  <c r="B53" i="4"/>
  <c r="A53" i="4"/>
  <c r="K52" i="4"/>
  <c r="J52" i="4"/>
  <c r="I52" i="4"/>
  <c r="C52" i="4"/>
  <c r="B52" i="4"/>
  <c r="A52" i="4"/>
  <c r="V52" i="4" s="1"/>
  <c r="K51" i="4"/>
  <c r="J51" i="4"/>
  <c r="I51" i="4"/>
  <c r="C51" i="4"/>
  <c r="B51" i="4"/>
  <c r="A51" i="4"/>
  <c r="T51" i="4" s="1"/>
  <c r="K50" i="4"/>
  <c r="J50" i="4"/>
  <c r="I50" i="4"/>
  <c r="C50" i="4"/>
  <c r="B50" i="4"/>
  <c r="A50" i="4"/>
  <c r="S50" i="4" s="1"/>
  <c r="K49" i="4"/>
  <c r="J49" i="4"/>
  <c r="I49" i="4"/>
  <c r="C49" i="4"/>
  <c r="B49" i="4"/>
  <c r="A49" i="4"/>
  <c r="K48" i="4"/>
  <c r="J48" i="4"/>
  <c r="I48" i="4"/>
  <c r="C48" i="4"/>
  <c r="B48" i="4"/>
  <c r="A48" i="4"/>
  <c r="S48" i="4" s="1"/>
  <c r="K47" i="4"/>
  <c r="J47" i="4"/>
  <c r="I47" i="4"/>
  <c r="C47" i="4"/>
  <c r="B47" i="4"/>
  <c r="A47" i="4"/>
  <c r="T47" i="4" s="1"/>
  <c r="K46" i="4"/>
  <c r="J46" i="4"/>
  <c r="I46" i="4"/>
  <c r="C46" i="4"/>
  <c r="B46" i="4"/>
  <c r="A46" i="4"/>
  <c r="S46" i="4" s="1"/>
  <c r="K45" i="4"/>
  <c r="J45" i="4"/>
  <c r="I45" i="4"/>
  <c r="C45" i="4"/>
  <c r="B45" i="4"/>
  <c r="A45" i="4"/>
  <c r="S45" i="4" s="1"/>
  <c r="K44" i="4"/>
  <c r="J44" i="4"/>
  <c r="I44" i="4"/>
  <c r="C44" i="4"/>
  <c r="B44" i="4"/>
  <c r="A44" i="4"/>
  <c r="V44" i="4" s="1"/>
  <c r="K43" i="4"/>
  <c r="J43" i="4"/>
  <c r="I43" i="4"/>
  <c r="C43" i="4"/>
  <c r="B43" i="4"/>
  <c r="A43" i="4"/>
  <c r="K42" i="4"/>
  <c r="J42" i="4"/>
  <c r="I42" i="4"/>
  <c r="C42" i="4"/>
  <c r="B42" i="4"/>
  <c r="A42" i="4"/>
  <c r="K41" i="4"/>
  <c r="J41" i="4"/>
  <c r="I41" i="4"/>
  <c r="C41" i="4"/>
  <c r="B41" i="4"/>
  <c r="A41" i="4"/>
  <c r="S41" i="4" s="1"/>
  <c r="K40" i="4"/>
  <c r="J40" i="4"/>
  <c r="I40" i="4"/>
  <c r="C40" i="4"/>
  <c r="B40" i="4"/>
  <c r="A40" i="4"/>
  <c r="V40" i="4" s="1"/>
  <c r="K39" i="4"/>
  <c r="J39" i="4"/>
  <c r="I39" i="4"/>
  <c r="C39" i="4"/>
  <c r="B39" i="4"/>
  <c r="A39" i="4"/>
  <c r="K38" i="4"/>
  <c r="J38" i="4"/>
  <c r="I38" i="4"/>
  <c r="C38" i="4"/>
  <c r="B38" i="4"/>
  <c r="A38" i="4"/>
  <c r="K37" i="4"/>
  <c r="J37" i="4"/>
  <c r="I37" i="4"/>
  <c r="C37" i="4"/>
  <c r="B37" i="4"/>
  <c r="A37" i="4"/>
  <c r="K36" i="4"/>
  <c r="J36" i="4"/>
  <c r="I36" i="4"/>
  <c r="C36" i="4"/>
  <c r="B36" i="4"/>
  <c r="A36" i="4"/>
  <c r="S36" i="4" s="1"/>
  <c r="K35" i="4"/>
  <c r="J35" i="4"/>
  <c r="I35" i="4"/>
  <c r="C35" i="4"/>
  <c r="B35" i="4"/>
  <c r="A35" i="4"/>
  <c r="T35" i="4" s="1"/>
  <c r="K34" i="4"/>
  <c r="J34" i="4"/>
  <c r="I34" i="4"/>
  <c r="C34" i="4"/>
  <c r="B34" i="4"/>
  <c r="A34" i="4"/>
  <c r="T34" i="4" s="1"/>
  <c r="K33" i="4"/>
  <c r="J33" i="4"/>
  <c r="I33" i="4"/>
  <c r="C33" i="4"/>
  <c r="B33" i="4"/>
  <c r="A33" i="4"/>
  <c r="K32" i="4"/>
  <c r="J32" i="4"/>
  <c r="I32" i="4"/>
  <c r="C32" i="4"/>
  <c r="B32" i="4"/>
  <c r="A32" i="4"/>
  <c r="V32" i="4" s="1"/>
  <c r="K31" i="4"/>
  <c r="J31" i="4"/>
  <c r="I31" i="4"/>
  <c r="C31" i="4"/>
  <c r="B31" i="4"/>
  <c r="A31" i="4"/>
  <c r="K30" i="4"/>
  <c r="J30" i="4"/>
  <c r="I30" i="4"/>
  <c r="C30" i="4"/>
  <c r="B30" i="4"/>
  <c r="A30" i="4"/>
  <c r="T30" i="4" s="1"/>
  <c r="K29" i="4"/>
  <c r="J29" i="4"/>
  <c r="I29" i="4"/>
  <c r="C29" i="4"/>
  <c r="B29" i="4"/>
  <c r="A29" i="4"/>
  <c r="V29" i="4" s="1"/>
  <c r="K28" i="4"/>
  <c r="J28" i="4"/>
  <c r="I28" i="4"/>
  <c r="C28" i="4"/>
  <c r="B28" i="4"/>
  <c r="A28" i="4"/>
  <c r="V28" i="4" s="1"/>
  <c r="K27" i="4"/>
  <c r="J27" i="4"/>
  <c r="I27" i="4"/>
  <c r="C27" i="4"/>
  <c r="B27" i="4"/>
  <c r="A27" i="4"/>
  <c r="K26" i="4"/>
  <c r="J26" i="4"/>
  <c r="I26" i="4"/>
  <c r="C26" i="4"/>
  <c r="B26" i="4"/>
  <c r="A26" i="4"/>
  <c r="T26" i="4" s="1"/>
  <c r="K25" i="4"/>
  <c r="J25" i="4"/>
  <c r="I25" i="4"/>
  <c r="C25" i="4"/>
  <c r="B25" i="4"/>
  <c r="A25" i="4"/>
  <c r="U25" i="4" s="1"/>
  <c r="K24" i="4"/>
  <c r="J24" i="4"/>
  <c r="I24" i="4"/>
  <c r="C24" i="4"/>
  <c r="B24" i="4"/>
  <c r="A24" i="4"/>
  <c r="U24" i="4" s="1"/>
  <c r="K23" i="4"/>
  <c r="J23" i="4"/>
  <c r="I23" i="4"/>
  <c r="C23" i="4"/>
  <c r="B23" i="4"/>
  <c r="A23" i="4"/>
  <c r="U23" i="4" s="1"/>
  <c r="K22" i="4"/>
  <c r="J22" i="4"/>
  <c r="I22" i="4"/>
  <c r="C22" i="4"/>
  <c r="B22" i="4"/>
  <c r="A22" i="4"/>
  <c r="T22" i="4" s="1"/>
  <c r="K21" i="4"/>
  <c r="J21" i="4"/>
  <c r="I21" i="4"/>
  <c r="C21" i="4"/>
  <c r="B21" i="4"/>
  <c r="A21" i="4"/>
  <c r="U21" i="4" s="1"/>
  <c r="K20" i="4"/>
  <c r="J20" i="4"/>
  <c r="I20" i="4"/>
  <c r="C20" i="4"/>
  <c r="B20" i="4"/>
  <c r="A20" i="4"/>
  <c r="U20" i="4" s="1"/>
  <c r="K19" i="4"/>
  <c r="J19" i="4"/>
  <c r="I19" i="4"/>
  <c r="C19" i="4"/>
  <c r="B19" i="4"/>
  <c r="A19" i="4"/>
  <c r="U19" i="4" s="1"/>
  <c r="K18" i="4"/>
  <c r="J18" i="4"/>
  <c r="I18" i="4"/>
  <c r="C18" i="4"/>
  <c r="B18" i="4"/>
  <c r="A18" i="4"/>
  <c r="T18" i="4" s="1"/>
  <c r="K17" i="4"/>
  <c r="J17" i="4"/>
  <c r="I17" i="4"/>
  <c r="C17" i="4"/>
  <c r="B17" i="4"/>
  <c r="A17" i="4"/>
  <c r="U17" i="4" s="1"/>
  <c r="K16" i="4"/>
  <c r="J16" i="4"/>
  <c r="I16" i="4"/>
  <c r="C16" i="4"/>
  <c r="B16" i="4"/>
  <c r="A16" i="4"/>
  <c r="T16" i="4" s="1"/>
  <c r="K15" i="4"/>
  <c r="J15" i="4"/>
  <c r="I15" i="4"/>
  <c r="C15" i="4"/>
  <c r="B15" i="4"/>
  <c r="A15" i="4"/>
  <c r="U15" i="4" s="1"/>
  <c r="K14" i="4"/>
  <c r="J14" i="4"/>
  <c r="I14" i="4"/>
  <c r="C14" i="4"/>
  <c r="B14" i="4"/>
  <c r="A14" i="4"/>
  <c r="T14" i="4" s="1"/>
  <c r="K13" i="4"/>
  <c r="J13" i="4"/>
  <c r="I13" i="4"/>
  <c r="C13" i="4"/>
  <c r="B13" i="4"/>
  <c r="A13" i="4"/>
  <c r="V13" i="4" s="1"/>
  <c r="K12" i="4"/>
  <c r="J12" i="4"/>
  <c r="I12" i="4"/>
  <c r="C12" i="4"/>
  <c r="B12" i="4"/>
  <c r="A12" i="4"/>
  <c r="K11" i="4"/>
  <c r="J11" i="4"/>
  <c r="I11" i="4"/>
  <c r="C11" i="4"/>
  <c r="B11" i="4"/>
  <c r="A11" i="4"/>
  <c r="V11" i="4" s="1"/>
  <c r="K10" i="4"/>
  <c r="J10" i="4"/>
  <c r="I10" i="4"/>
  <c r="C10" i="4"/>
  <c r="B10" i="4"/>
  <c r="A10" i="4"/>
  <c r="U10" i="4" s="1"/>
  <c r="K9" i="4"/>
  <c r="J9" i="4"/>
  <c r="I9" i="4"/>
  <c r="C9" i="4"/>
  <c r="B9" i="4"/>
  <c r="A9" i="4"/>
  <c r="T9" i="4" s="1"/>
  <c r="K8" i="4"/>
  <c r="J8" i="4"/>
  <c r="I8" i="4"/>
  <c r="C8" i="4"/>
  <c r="B8" i="4"/>
  <c r="A8" i="4"/>
  <c r="T8" i="4" s="1"/>
  <c r="K7" i="4"/>
  <c r="J7" i="4"/>
  <c r="I7" i="4"/>
  <c r="C7" i="4"/>
  <c r="B7" i="4"/>
  <c r="A7" i="4"/>
  <c r="T7" i="4" s="1"/>
  <c r="K6" i="4"/>
  <c r="J6" i="4"/>
  <c r="I6" i="4"/>
  <c r="C6" i="4"/>
  <c r="B6" i="4"/>
  <c r="A6" i="4"/>
  <c r="T6" i="4" s="1"/>
  <c r="K5" i="4"/>
  <c r="J5" i="4"/>
  <c r="I5" i="4"/>
  <c r="C5" i="4"/>
  <c r="B5" i="4"/>
  <c r="A5" i="4"/>
  <c r="T5" i="4" s="1"/>
  <c r="K4" i="4"/>
  <c r="J4" i="4"/>
  <c r="I4" i="4"/>
  <c r="C4" i="4"/>
  <c r="B4" i="4"/>
  <c r="A4" i="4"/>
  <c r="T4" i="4" s="1"/>
  <c r="K3" i="4"/>
  <c r="J3" i="4"/>
  <c r="I3" i="4"/>
  <c r="C3" i="4"/>
  <c r="B3" i="4"/>
  <c r="A3" i="4"/>
  <c r="T3" i="4" s="1"/>
  <c r="V58" i="4" l="1"/>
  <c r="S44" i="4"/>
  <c r="V60" i="4"/>
  <c r="R47" i="4"/>
  <c r="W47" i="4" s="1"/>
  <c r="V36" i="4"/>
  <c r="R51" i="4"/>
  <c r="U16" i="4"/>
  <c r="R56" i="4"/>
  <c r="W56" i="4" s="1"/>
  <c r="U28" i="4"/>
  <c r="V56" i="4"/>
  <c r="T46" i="4"/>
  <c r="S32" i="4"/>
  <c r="T24" i="4"/>
  <c r="S34" i="4"/>
  <c r="T50" i="4"/>
  <c r="S60" i="4"/>
  <c r="U18" i="4"/>
  <c r="S40" i="4"/>
  <c r="S52" i="4"/>
  <c r="U22" i="4"/>
  <c r="U14" i="4"/>
  <c r="T20" i="4"/>
  <c r="U26" i="4"/>
  <c r="R32" i="4"/>
  <c r="R36" i="4"/>
  <c r="W36" i="4" s="1"/>
  <c r="T11" i="4"/>
  <c r="R45" i="4"/>
  <c r="W45" i="4" s="1"/>
  <c r="T59" i="4"/>
  <c r="T29" i="4"/>
  <c r="R41" i="4"/>
  <c r="W41" i="4" s="1"/>
  <c r="T57" i="4"/>
  <c r="U29" i="4"/>
  <c r="R35" i="4"/>
  <c r="W35" i="4" s="1"/>
  <c r="T13" i="4"/>
  <c r="T15" i="4"/>
  <c r="T17" i="4"/>
  <c r="T19" i="4"/>
  <c r="T21" i="4"/>
  <c r="T23" i="4"/>
  <c r="T25" i="4"/>
  <c r="O11" i="4"/>
  <c r="G11" i="4"/>
  <c r="O16" i="4"/>
  <c r="G16" i="4"/>
  <c r="O22" i="4"/>
  <c r="G22" i="4"/>
  <c r="O25" i="4"/>
  <c r="G25" i="4"/>
  <c r="O15" i="4"/>
  <c r="G15" i="4"/>
  <c r="O18" i="4"/>
  <c r="G18" i="4"/>
  <c r="O20" i="4"/>
  <c r="G20" i="4"/>
  <c r="O23" i="4"/>
  <c r="G23" i="4"/>
  <c r="O14" i="4"/>
  <c r="G14" i="4"/>
  <c r="O19" i="4"/>
  <c r="G19" i="4"/>
  <c r="O21" i="4"/>
  <c r="G21" i="4"/>
  <c r="O26" i="4"/>
  <c r="G26" i="4"/>
  <c r="O13" i="4"/>
  <c r="G13" i="4"/>
  <c r="O17" i="4"/>
  <c r="G17" i="4"/>
  <c r="O24" i="4"/>
  <c r="G24" i="4"/>
  <c r="O28" i="4"/>
  <c r="G28" i="4"/>
  <c r="O29" i="4"/>
  <c r="G29" i="4"/>
  <c r="R44" i="4"/>
  <c r="R52" i="4"/>
  <c r="V4" i="4"/>
  <c r="V6" i="4"/>
  <c r="V8" i="4"/>
  <c r="V10" i="4"/>
  <c r="V12" i="4"/>
  <c r="R40" i="4"/>
  <c r="R48" i="4"/>
  <c r="V48" i="4"/>
  <c r="V3" i="4"/>
  <c r="V5" i="4"/>
  <c r="V7" i="4"/>
  <c r="V9" i="4"/>
  <c r="U13" i="4"/>
  <c r="S3" i="4"/>
  <c r="S4" i="4"/>
  <c r="S5" i="4"/>
  <c r="S6" i="4"/>
  <c r="S7" i="4"/>
  <c r="S8" i="4"/>
  <c r="S9" i="4"/>
  <c r="T10" i="4"/>
  <c r="S11" i="4"/>
  <c r="R11" i="4"/>
  <c r="G12" i="4"/>
  <c r="O12" i="4"/>
  <c r="S23" i="4"/>
  <c r="W60" i="4"/>
  <c r="S12" i="4"/>
  <c r="R12" i="4"/>
  <c r="S15" i="4"/>
  <c r="S17" i="4"/>
  <c r="S19" i="4"/>
  <c r="S22" i="4"/>
  <c r="S26" i="4"/>
  <c r="T38" i="4"/>
  <c r="T54" i="4"/>
  <c r="G3" i="4"/>
  <c r="O3" i="4"/>
  <c r="U3" i="4"/>
  <c r="G4" i="4"/>
  <c r="O4" i="4"/>
  <c r="U4" i="4"/>
  <c r="G5" i="4"/>
  <c r="O5" i="4"/>
  <c r="U5" i="4"/>
  <c r="G6" i="4"/>
  <c r="O6" i="4"/>
  <c r="U6" i="4"/>
  <c r="G7" i="4"/>
  <c r="O7" i="4"/>
  <c r="U7" i="4"/>
  <c r="G8" i="4"/>
  <c r="O8" i="4"/>
  <c r="U8" i="4"/>
  <c r="G9" i="4"/>
  <c r="O9" i="4"/>
  <c r="U9" i="4"/>
  <c r="G10" i="4"/>
  <c r="O10" i="4"/>
  <c r="U11" i="4"/>
  <c r="T12" i="4"/>
  <c r="S13" i="4"/>
  <c r="R13" i="4"/>
  <c r="S21" i="4"/>
  <c r="S25" i="4"/>
  <c r="W51" i="4"/>
  <c r="W57" i="4"/>
  <c r="W59" i="4"/>
  <c r="R3" i="4"/>
  <c r="R4" i="4"/>
  <c r="R5" i="4"/>
  <c r="R6" i="4"/>
  <c r="R7" i="4"/>
  <c r="R8" i="4"/>
  <c r="R9" i="4"/>
  <c r="S10" i="4"/>
  <c r="R10" i="4"/>
  <c r="U12" i="4"/>
  <c r="S14" i="4"/>
  <c r="S16" i="4"/>
  <c r="S18" i="4"/>
  <c r="S20" i="4"/>
  <c r="S24" i="4"/>
  <c r="V27" i="4"/>
  <c r="O31" i="4"/>
  <c r="S33" i="4"/>
  <c r="T39" i="4"/>
  <c r="S49" i="4"/>
  <c r="T55" i="4"/>
  <c r="G27" i="4"/>
  <c r="O27" i="4"/>
  <c r="S30" i="4"/>
  <c r="R30" i="4"/>
  <c r="G31" i="4"/>
  <c r="U37" i="4"/>
  <c r="O37" i="4"/>
  <c r="G37" i="4"/>
  <c r="V37" i="4"/>
  <c r="T37" i="4"/>
  <c r="U42" i="4"/>
  <c r="O42" i="4"/>
  <c r="G42" i="4"/>
  <c r="R42" i="4"/>
  <c r="V42" i="4"/>
  <c r="U43" i="4"/>
  <c r="O43" i="4"/>
  <c r="G43" i="4"/>
  <c r="S43" i="4"/>
  <c r="V43" i="4"/>
  <c r="U53" i="4"/>
  <c r="O53" i="4"/>
  <c r="G53" i="4"/>
  <c r="V53" i="4"/>
  <c r="T53" i="4"/>
  <c r="S27" i="4"/>
  <c r="R27" i="4"/>
  <c r="U31" i="4"/>
  <c r="S31" i="4"/>
  <c r="R31" i="4"/>
  <c r="U33" i="4"/>
  <c r="O33" i="4"/>
  <c r="G33" i="4"/>
  <c r="V33" i="4"/>
  <c r="T33" i="4"/>
  <c r="U38" i="4"/>
  <c r="O38" i="4"/>
  <c r="G38" i="4"/>
  <c r="R38" i="4"/>
  <c r="V38" i="4"/>
  <c r="U39" i="4"/>
  <c r="O39" i="4"/>
  <c r="G39" i="4"/>
  <c r="S39" i="4"/>
  <c r="V39" i="4"/>
  <c r="U49" i="4"/>
  <c r="O49" i="4"/>
  <c r="G49" i="4"/>
  <c r="V49" i="4"/>
  <c r="T49" i="4"/>
  <c r="U54" i="4"/>
  <c r="O54" i="4"/>
  <c r="G54" i="4"/>
  <c r="R54" i="4"/>
  <c r="V54" i="4"/>
  <c r="U55" i="4"/>
  <c r="O55" i="4"/>
  <c r="G55" i="4"/>
  <c r="S55" i="4"/>
  <c r="V55" i="4"/>
  <c r="R14" i="4"/>
  <c r="V14" i="4"/>
  <c r="R15" i="4"/>
  <c r="V15" i="4"/>
  <c r="R16" i="4"/>
  <c r="V16" i="4"/>
  <c r="R17" i="4"/>
  <c r="V17" i="4"/>
  <c r="R18" i="4"/>
  <c r="V18" i="4"/>
  <c r="R19" i="4"/>
  <c r="V19" i="4"/>
  <c r="R20" i="4"/>
  <c r="V20" i="4"/>
  <c r="R21" i="4"/>
  <c r="V21" i="4"/>
  <c r="R22" i="4"/>
  <c r="V22" i="4"/>
  <c r="R23" i="4"/>
  <c r="V23" i="4"/>
  <c r="R24" i="4"/>
  <c r="V24" i="4"/>
  <c r="R25" i="4"/>
  <c r="V25" i="4"/>
  <c r="R26" i="4"/>
  <c r="V26" i="4"/>
  <c r="T27" i="4"/>
  <c r="S28" i="4"/>
  <c r="R28" i="4"/>
  <c r="U30" i="4"/>
  <c r="T31" i="4"/>
  <c r="U34" i="4"/>
  <c r="O34" i="4"/>
  <c r="G34" i="4"/>
  <c r="R34" i="4"/>
  <c r="V34" i="4"/>
  <c r="U35" i="4"/>
  <c r="O35" i="4"/>
  <c r="G35" i="4"/>
  <c r="S35" i="4"/>
  <c r="V35" i="4"/>
  <c r="R37" i="4"/>
  <c r="S42" i="4"/>
  <c r="R43" i="4"/>
  <c r="U45" i="4"/>
  <c r="O45" i="4"/>
  <c r="G45" i="4"/>
  <c r="V45" i="4"/>
  <c r="T45" i="4"/>
  <c r="U50" i="4"/>
  <c r="O50" i="4"/>
  <c r="G50" i="4"/>
  <c r="R50" i="4"/>
  <c r="V50" i="4"/>
  <c r="U51" i="4"/>
  <c r="O51" i="4"/>
  <c r="G51" i="4"/>
  <c r="S51" i="4"/>
  <c r="V51" i="4"/>
  <c r="R53" i="4"/>
  <c r="U57" i="4"/>
  <c r="O57" i="4"/>
  <c r="G57" i="4"/>
  <c r="V57" i="4"/>
  <c r="S57" i="4"/>
  <c r="U27" i="4"/>
  <c r="T28" i="4"/>
  <c r="S29" i="4"/>
  <c r="R29" i="4"/>
  <c r="G30" i="4"/>
  <c r="O30" i="4"/>
  <c r="V30" i="4"/>
  <c r="V31" i="4"/>
  <c r="R33" i="4"/>
  <c r="S37" i="4"/>
  <c r="S38" i="4"/>
  <c r="R39" i="4"/>
  <c r="U41" i="4"/>
  <c r="O41" i="4"/>
  <c r="G41" i="4"/>
  <c r="V41" i="4"/>
  <c r="T41" i="4"/>
  <c r="T42" i="4"/>
  <c r="T43" i="4"/>
  <c r="U46" i="4"/>
  <c r="O46" i="4"/>
  <c r="G46" i="4"/>
  <c r="R46" i="4"/>
  <c r="V46" i="4"/>
  <c r="U47" i="4"/>
  <c r="O47" i="4"/>
  <c r="G47" i="4"/>
  <c r="S47" i="4"/>
  <c r="V47" i="4"/>
  <c r="R49" i="4"/>
  <c r="S53" i="4"/>
  <c r="S54" i="4"/>
  <c r="R55" i="4"/>
  <c r="U59" i="4"/>
  <c r="O59" i="4"/>
  <c r="G59" i="4"/>
  <c r="S59" i="4"/>
  <c r="V59" i="4"/>
  <c r="U58" i="4"/>
  <c r="O58" i="4"/>
  <c r="G58" i="4"/>
  <c r="T58" i="4"/>
  <c r="U61" i="4"/>
  <c r="O61" i="4"/>
  <c r="G61" i="4"/>
  <c r="S61" i="4"/>
  <c r="V61" i="4"/>
  <c r="B62" i="17"/>
  <c r="H60" i="17"/>
  <c r="B58" i="17"/>
  <c r="H56" i="17"/>
  <c r="B54" i="17"/>
  <c r="H52" i="17"/>
  <c r="B50" i="17"/>
  <c r="H48" i="17"/>
  <c r="B46" i="17"/>
  <c r="H44" i="17"/>
  <c r="B42" i="17"/>
  <c r="H40" i="17"/>
  <c r="B38" i="17"/>
  <c r="H36" i="17"/>
  <c r="B34" i="17"/>
  <c r="H32" i="17"/>
  <c r="B30" i="17"/>
  <c r="H28" i="17"/>
  <c r="B26" i="17"/>
  <c r="H24" i="17"/>
  <c r="B22" i="17"/>
  <c r="H20" i="17"/>
  <c r="B18" i="17"/>
  <c r="H16" i="17"/>
  <c r="B14" i="17"/>
  <c r="H12" i="17"/>
  <c r="B10" i="17"/>
  <c r="H8" i="17"/>
  <c r="B6" i="17"/>
  <c r="H4" i="17"/>
  <c r="B2" i="17"/>
  <c r="H62" i="16"/>
  <c r="B60" i="16"/>
  <c r="H58" i="16"/>
  <c r="B56" i="16"/>
  <c r="H54" i="16"/>
  <c r="B52" i="16"/>
  <c r="H50" i="16"/>
  <c r="B48" i="16"/>
  <c r="H46" i="16"/>
  <c r="B44" i="16"/>
  <c r="H42" i="16"/>
  <c r="B40" i="16"/>
  <c r="H38" i="16"/>
  <c r="B36" i="16"/>
  <c r="H34" i="16"/>
  <c r="B32" i="16"/>
  <c r="H30" i="16"/>
  <c r="B28" i="16"/>
  <c r="H26" i="16"/>
  <c r="B24" i="16"/>
  <c r="H22" i="16"/>
  <c r="B20" i="16"/>
  <c r="H18" i="16"/>
  <c r="B16" i="16"/>
  <c r="H14" i="16"/>
  <c r="B12" i="16"/>
  <c r="H10" i="16"/>
  <c r="B8" i="16"/>
  <c r="H6" i="16"/>
  <c r="B4" i="16"/>
  <c r="H2" i="16"/>
  <c r="B63" i="17"/>
  <c r="H61" i="17"/>
  <c r="B59" i="17"/>
  <c r="H57" i="17"/>
  <c r="B55" i="17"/>
  <c r="H53" i="17"/>
  <c r="B51" i="17"/>
  <c r="H49" i="17"/>
  <c r="B47" i="17"/>
  <c r="H45" i="17"/>
  <c r="B43" i="17"/>
  <c r="H41" i="17"/>
  <c r="B39" i="17"/>
  <c r="H37" i="17"/>
  <c r="B35" i="17"/>
  <c r="H33" i="17"/>
  <c r="B31" i="17"/>
  <c r="H29" i="17"/>
  <c r="B27" i="17"/>
  <c r="H25" i="17"/>
  <c r="B23" i="17"/>
  <c r="H21" i="17"/>
  <c r="B19" i="17"/>
  <c r="H17" i="17"/>
  <c r="B15" i="17"/>
  <c r="H13" i="17"/>
  <c r="B11" i="17"/>
  <c r="H9" i="17"/>
  <c r="B7" i="17"/>
  <c r="H5" i="17"/>
  <c r="B3" i="17"/>
  <c r="H63" i="16"/>
  <c r="B61" i="16"/>
  <c r="H59" i="16"/>
  <c r="B57" i="16"/>
  <c r="H55" i="16"/>
  <c r="B53" i="16"/>
  <c r="H51" i="16"/>
  <c r="B49" i="16"/>
  <c r="H47" i="16"/>
  <c r="B45" i="16"/>
  <c r="H43" i="16"/>
  <c r="B41" i="16"/>
  <c r="H39" i="16"/>
  <c r="B37" i="16"/>
  <c r="H35" i="16"/>
  <c r="B33" i="16"/>
  <c r="H31" i="16"/>
  <c r="B29" i="16"/>
  <c r="H27" i="16"/>
  <c r="B25" i="16"/>
  <c r="H23" i="16"/>
  <c r="B21" i="16"/>
  <c r="H19" i="16"/>
  <c r="B17" i="16"/>
  <c r="H15" i="16"/>
  <c r="B13" i="16"/>
  <c r="H11" i="16"/>
  <c r="B9" i="16"/>
  <c r="H7" i="16"/>
  <c r="B5" i="16"/>
  <c r="H3" i="16"/>
  <c r="H62" i="17"/>
  <c r="B60" i="17"/>
  <c r="H58" i="17"/>
  <c r="B56" i="17"/>
  <c r="H54" i="17"/>
  <c r="B52" i="17"/>
  <c r="H50" i="17"/>
  <c r="B48" i="17"/>
  <c r="H46" i="17"/>
  <c r="B44" i="17"/>
  <c r="H42" i="17"/>
  <c r="B40" i="17"/>
  <c r="H38" i="17"/>
  <c r="B36" i="17"/>
  <c r="H34" i="17"/>
  <c r="B32" i="17"/>
  <c r="H30" i="17"/>
  <c r="B28" i="17"/>
  <c r="H26" i="17"/>
  <c r="B24" i="17"/>
  <c r="H22" i="17"/>
  <c r="B20" i="17"/>
  <c r="H18" i="17"/>
  <c r="B16" i="17"/>
  <c r="H14" i="17"/>
  <c r="B12" i="17"/>
  <c r="H10" i="17"/>
  <c r="B8" i="17"/>
  <c r="H6" i="17"/>
  <c r="B4" i="17"/>
  <c r="H2" i="17"/>
  <c r="B62" i="16"/>
  <c r="H60" i="16"/>
  <c r="B58" i="16"/>
  <c r="H56" i="16"/>
  <c r="B54" i="16"/>
  <c r="H52" i="16"/>
  <c r="B50" i="16"/>
  <c r="H48" i="16"/>
  <c r="B46" i="16"/>
  <c r="H44" i="16"/>
  <c r="B42" i="16"/>
  <c r="H40" i="16"/>
  <c r="B38" i="16"/>
  <c r="H36" i="16"/>
  <c r="B34" i="16"/>
  <c r="H32" i="16"/>
  <c r="B30" i="16"/>
  <c r="H28" i="16"/>
  <c r="B26" i="16"/>
  <c r="H24" i="16"/>
  <c r="B22" i="16"/>
  <c r="H20" i="16"/>
  <c r="B18" i="16"/>
  <c r="H16" i="16"/>
  <c r="B14" i="16"/>
  <c r="H12" i="16"/>
  <c r="B10" i="16"/>
  <c r="H8" i="16"/>
  <c r="B6" i="16"/>
  <c r="H4" i="16"/>
  <c r="B2" i="16"/>
  <c r="H63" i="17"/>
  <c r="B61" i="17"/>
  <c r="H59" i="17"/>
  <c r="B57" i="17"/>
  <c r="H55" i="17"/>
  <c r="B53" i="17"/>
  <c r="H51" i="17"/>
  <c r="B49" i="17"/>
  <c r="H47" i="17"/>
  <c r="B45" i="17"/>
  <c r="H43" i="17"/>
  <c r="B41" i="17"/>
  <c r="H39" i="17"/>
  <c r="B37" i="17"/>
  <c r="H35" i="17"/>
  <c r="B33" i="17"/>
  <c r="H31" i="17"/>
  <c r="B29" i="17"/>
  <c r="H27" i="17"/>
  <c r="B25" i="17"/>
  <c r="H23" i="17"/>
  <c r="B21" i="17"/>
  <c r="H19" i="17"/>
  <c r="B17" i="17"/>
  <c r="H15" i="17"/>
  <c r="B13" i="17"/>
  <c r="H11" i="17"/>
  <c r="B9" i="17"/>
  <c r="H7" i="17"/>
  <c r="B5" i="17"/>
  <c r="H3" i="17"/>
  <c r="B63" i="16"/>
  <c r="H61" i="16"/>
  <c r="B59" i="16"/>
  <c r="H57" i="16"/>
  <c r="B55" i="16"/>
  <c r="H53" i="16"/>
  <c r="B51" i="16"/>
  <c r="H49" i="16"/>
  <c r="B47" i="16"/>
  <c r="H45" i="16"/>
  <c r="B43" i="16"/>
  <c r="H41" i="16"/>
  <c r="B39" i="16"/>
  <c r="H37" i="16"/>
  <c r="B35" i="16"/>
  <c r="H33" i="16"/>
  <c r="B31" i="16"/>
  <c r="H29" i="16"/>
  <c r="B27" i="16"/>
  <c r="H25" i="16"/>
  <c r="B23" i="16"/>
  <c r="H21" i="16"/>
  <c r="B19" i="16"/>
  <c r="H17" i="16"/>
  <c r="B15" i="16"/>
  <c r="H13" i="16"/>
  <c r="B11" i="16"/>
  <c r="H9" i="16"/>
  <c r="B7" i="16"/>
  <c r="H5" i="16"/>
  <c r="B3" i="16"/>
  <c r="U32" i="4"/>
  <c r="O32" i="4"/>
  <c r="G32" i="4"/>
  <c r="T32" i="4"/>
  <c r="U36" i="4"/>
  <c r="O36" i="4"/>
  <c r="G36" i="4"/>
  <c r="T36" i="4"/>
  <c r="U40" i="4"/>
  <c r="O40" i="4"/>
  <c r="G40" i="4"/>
  <c r="T40" i="4"/>
  <c r="U44" i="4"/>
  <c r="O44" i="4"/>
  <c r="G44" i="4"/>
  <c r="T44" i="4"/>
  <c r="U48" i="4"/>
  <c r="O48" i="4"/>
  <c r="G48" i="4"/>
  <c r="T48" i="4"/>
  <c r="U52" i="4"/>
  <c r="O52" i="4"/>
  <c r="G52" i="4"/>
  <c r="T52" i="4"/>
  <c r="U56" i="4"/>
  <c r="O56" i="4"/>
  <c r="G56" i="4"/>
  <c r="T56" i="4"/>
  <c r="R58" i="4"/>
  <c r="U60" i="4"/>
  <c r="O60" i="4"/>
  <c r="G60" i="4"/>
  <c r="T60" i="4"/>
  <c r="R61" i="4"/>
  <c r="Q24" i="8"/>
  <c r="Q25" i="8"/>
  <c r="Q26" i="8"/>
  <c r="Q28" i="8"/>
  <c r="Q30" i="8"/>
  <c r="Q31" i="8"/>
  <c r="Q32" i="8"/>
  <c r="Q33" i="8"/>
  <c r="Q35" i="8"/>
  <c r="Q36" i="8"/>
  <c r="Q38" i="8"/>
  <c r="Q39" i="8"/>
  <c r="Q40" i="8"/>
  <c r="Q41" i="8"/>
  <c r="Q43" i="8"/>
  <c r="Q44" i="8"/>
  <c r="Q50" i="8"/>
  <c r="Q51" i="8"/>
  <c r="Q52" i="8"/>
  <c r="Q53" i="8"/>
  <c r="Q54" i="8"/>
  <c r="Q55" i="8"/>
  <c r="Q58" i="8"/>
  <c r="Q59" i="8"/>
  <c r="Q61" i="8"/>
  <c r="Q62" i="8"/>
  <c r="Q63" i="8"/>
  <c r="Q64" i="8"/>
  <c r="Q65" i="8"/>
  <c r="Q67" i="8"/>
  <c r="Q68" i="8"/>
  <c r="Q69" i="8"/>
  <c r="Q70" i="8"/>
  <c r="Q71" i="8"/>
  <c r="Q72" i="8"/>
  <c r="Q73" i="8"/>
  <c r="Q76" i="8"/>
  <c r="Q77" i="8"/>
  <c r="Q79" i="8"/>
  <c r="Q80" i="8"/>
  <c r="Q83" i="8"/>
  <c r="Q84" i="8"/>
  <c r="Q90" i="8"/>
  <c r="Q91" i="8"/>
  <c r="Q92" i="8"/>
  <c r="Q93" i="8"/>
  <c r="Q94" i="8"/>
  <c r="O78" i="9"/>
  <c r="O82" i="9"/>
  <c r="O91" i="9"/>
  <c r="O102" i="9"/>
  <c r="O107" i="9"/>
  <c r="O112" i="9"/>
  <c r="O113" i="9"/>
  <c r="O93" i="9"/>
  <c r="O98" i="9"/>
  <c r="O109" i="9"/>
  <c r="O7" i="9"/>
  <c r="O11" i="9"/>
  <c r="O19" i="9"/>
  <c r="O23" i="9"/>
  <c r="O27" i="9"/>
  <c r="O31" i="9"/>
  <c r="O35" i="9"/>
  <c r="O39" i="9"/>
  <c r="O43" i="9"/>
  <c r="O51" i="9"/>
  <c r="O63" i="9"/>
  <c r="O67" i="9"/>
  <c r="O71" i="9"/>
  <c r="O76" i="9"/>
  <c r="O89" i="9"/>
  <c r="O94" i="9"/>
  <c r="O99" i="9"/>
  <c r="O90" i="9"/>
  <c r="W32" i="4" l="1"/>
  <c r="W55" i="4"/>
  <c r="W33" i="4"/>
  <c r="W37" i="4"/>
  <c r="W54" i="4"/>
  <c r="W31" i="4"/>
  <c r="W42" i="4"/>
  <c r="W9" i="4"/>
  <c r="W5" i="4"/>
  <c r="W12" i="4"/>
  <c r="W40" i="4"/>
  <c r="W44" i="4"/>
  <c r="W61" i="4"/>
  <c r="W39" i="4"/>
  <c r="W29" i="4"/>
  <c r="W50" i="4"/>
  <c r="W28" i="4"/>
  <c r="W26" i="4"/>
  <c r="W24" i="4"/>
  <c r="W22" i="4"/>
  <c r="W20" i="4"/>
  <c r="W18" i="4"/>
  <c r="W16" i="4"/>
  <c r="W14" i="4"/>
  <c r="W8" i="4"/>
  <c r="W4" i="4"/>
  <c r="W46" i="4"/>
  <c r="W53" i="4"/>
  <c r="W43" i="4"/>
  <c r="W30" i="4"/>
  <c r="W10" i="4"/>
  <c r="W7" i="4"/>
  <c r="W3" i="4"/>
  <c r="AD47" i="4" s="1"/>
  <c r="W52" i="4"/>
  <c r="W58" i="4"/>
  <c r="W49" i="4"/>
  <c r="W34" i="4"/>
  <c r="W25" i="4"/>
  <c r="W23" i="4"/>
  <c r="W21" i="4"/>
  <c r="W19" i="4"/>
  <c r="W17" i="4"/>
  <c r="W15" i="4"/>
  <c r="W38" i="4"/>
  <c r="W27" i="4"/>
  <c r="W6" i="4"/>
  <c r="W13" i="4"/>
  <c r="W11" i="4"/>
  <c r="W48" i="4"/>
  <c r="AD43" i="4" l="1"/>
  <c r="AA43" i="4" s="1"/>
  <c r="AD59" i="4"/>
  <c r="Z59" i="4" s="1"/>
  <c r="AD35" i="4"/>
  <c r="AB35" i="4" s="1"/>
  <c r="AA47" i="4"/>
  <c r="Y47" i="4"/>
  <c r="AD60" i="4"/>
  <c r="AB60" i="4" s="1"/>
  <c r="AD27" i="4"/>
  <c r="Y27" i="4" s="1"/>
  <c r="AD57" i="4"/>
  <c r="Z57" i="4" s="1"/>
  <c r="AD56" i="4"/>
  <c r="AB56" i="4" s="1"/>
  <c r="AD45" i="4"/>
  <c r="Y45" i="4" s="1"/>
  <c r="AD33" i="4"/>
  <c r="AC33" i="4" s="1"/>
  <c r="AD41" i="4"/>
  <c r="AB41" i="4" s="1"/>
  <c r="AD38" i="4"/>
  <c r="AA38" i="4" s="1"/>
  <c r="AD51" i="4"/>
  <c r="Z51" i="4" s="1"/>
  <c r="AD49" i="4"/>
  <c r="Z49" i="4" s="1"/>
  <c r="AD30" i="4"/>
  <c r="AA30" i="4" s="1"/>
  <c r="AD14" i="4"/>
  <c r="AB14" i="4" s="1"/>
  <c r="AD18" i="4"/>
  <c r="AB18" i="4" s="1"/>
  <c r="AD29" i="4"/>
  <c r="AC29" i="4" s="1"/>
  <c r="AD61" i="4"/>
  <c r="AA61" i="4" s="1"/>
  <c r="AB47" i="4"/>
  <c r="AD19" i="4"/>
  <c r="AC19" i="4" s="1"/>
  <c r="AD10" i="4"/>
  <c r="AB10" i="4" s="1"/>
  <c r="AD50" i="4"/>
  <c r="Z50" i="4" s="1"/>
  <c r="AD52" i="4"/>
  <c r="AB52" i="4" s="1"/>
  <c r="AD7" i="4"/>
  <c r="AA7" i="4" s="1"/>
  <c r="Y43" i="4"/>
  <c r="AD4" i="4"/>
  <c r="AA4" i="4" s="1"/>
  <c r="AD36" i="4"/>
  <c r="AD9" i="4"/>
  <c r="Y9" i="4" s="1"/>
  <c r="AD42" i="4"/>
  <c r="AD54" i="4"/>
  <c r="AC47" i="4"/>
  <c r="AD6" i="4"/>
  <c r="AB6" i="4" s="1"/>
  <c r="AD23" i="4"/>
  <c r="Z23" i="4" s="1"/>
  <c r="AD22" i="4"/>
  <c r="AA22" i="4" s="1"/>
  <c r="AD11" i="4"/>
  <c r="Y11" i="4" s="1"/>
  <c r="Z10" i="4"/>
  <c r="AD17" i="4"/>
  <c r="Y17" i="4" s="1"/>
  <c r="AD21" i="4"/>
  <c r="Y21" i="4" s="1"/>
  <c r="AD25" i="4"/>
  <c r="Y25" i="4" s="1"/>
  <c r="AD34" i="4"/>
  <c r="Y34" i="4" s="1"/>
  <c r="AC43" i="4"/>
  <c r="AC38" i="4"/>
  <c r="AA56" i="4"/>
  <c r="AD16" i="4"/>
  <c r="AB16" i="4" s="1"/>
  <c r="AD20" i="4"/>
  <c r="AA20" i="4" s="1"/>
  <c r="AD24" i="4"/>
  <c r="AB24" i="4" s="1"/>
  <c r="AD28" i="4"/>
  <c r="AD39" i="4"/>
  <c r="AD44" i="4"/>
  <c r="Z44" i="4" s="1"/>
  <c r="AD40" i="4"/>
  <c r="AD12" i="4"/>
  <c r="AC14" i="4"/>
  <c r="AD37" i="4"/>
  <c r="AA37" i="4" s="1"/>
  <c r="AD55" i="4"/>
  <c r="Y55" i="4" s="1"/>
  <c r="AD15" i="4"/>
  <c r="AB15" i="4" s="1"/>
  <c r="AD26" i="4"/>
  <c r="AA26" i="4" s="1"/>
  <c r="Z43" i="4"/>
  <c r="AD48" i="4"/>
  <c r="Z48" i="4" s="1"/>
  <c r="Y56" i="4"/>
  <c r="Z56" i="4"/>
  <c r="AC56" i="4"/>
  <c r="AD13" i="4"/>
  <c r="AC13" i="4" s="1"/>
  <c r="AA59" i="4"/>
  <c r="AB59" i="4"/>
  <c r="AD58" i="4"/>
  <c r="AC10" i="4"/>
  <c r="AD3" i="4"/>
  <c r="Z3" i="4" s="1"/>
  <c r="Z35" i="4"/>
  <c r="AD53" i="4"/>
  <c r="AD46" i="4"/>
  <c r="Y46" i="4" s="1"/>
  <c r="AD8" i="4"/>
  <c r="AA8" i="4" s="1"/>
  <c r="Y14" i="4"/>
  <c r="Y22" i="4"/>
  <c r="Y39" i="4"/>
  <c r="Z47" i="4"/>
  <c r="Z11" i="4"/>
  <c r="AD5" i="4"/>
  <c r="AA5" i="4" s="1"/>
  <c r="Z14" i="4"/>
  <c r="AD31" i="4"/>
  <c r="AD32" i="4"/>
  <c r="Y37" i="4" l="1"/>
  <c r="Z30" i="4"/>
  <c r="Y50" i="4"/>
  <c r="Y44" i="4"/>
  <c r="Y30" i="4"/>
  <c r="AA57" i="4"/>
  <c r="AC4" i="4"/>
  <c r="AC23" i="4"/>
  <c r="AC30" i="4"/>
  <c r="Y4" i="4"/>
  <c r="AA10" i="4"/>
  <c r="AB49" i="4"/>
  <c r="Y29" i="4"/>
  <c r="Z33" i="4"/>
  <c r="AA49" i="4"/>
  <c r="Y10" i="4"/>
  <c r="Z29" i="4"/>
  <c r="Y49" i="4"/>
  <c r="AB30" i="4"/>
  <c r="Y18" i="4"/>
  <c r="Y19" i="4"/>
  <c r="Y15" i="4"/>
  <c r="AA60" i="4"/>
  <c r="Y59" i="4"/>
  <c r="Z7" i="4"/>
  <c r="AA45" i="4"/>
  <c r="Y60" i="4"/>
  <c r="Z19" i="4"/>
  <c r="AC34" i="4"/>
  <c r="Y7" i="4"/>
  <c r="AB43" i="4"/>
  <c r="AC48" i="4"/>
  <c r="Z21" i="4"/>
  <c r="Y23" i="4"/>
  <c r="AC49" i="4"/>
  <c r="AA34" i="4"/>
  <c r="AA14" i="4"/>
  <c r="Z6" i="4"/>
  <c r="Y33" i="4"/>
  <c r="AC59" i="4"/>
  <c r="AC25" i="4"/>
  <c r="Y6" i="4"/>
  <c r="Z25" i="4"/>
  <c r="AA13" i="4"/>
  <c r="Z34" i="4"/>
  <c r="AC35" i="4"/>
  <c r="AA35" i="4"/>
  <c r="Z17" i="4"/>
  <c r="AA27" i="4"/>
  <c r="Z27" i="4"/>
  <c r="AB11" i="4"/>
  <c r="Y35" i="4"/>
  <c r="AC27" i="4"/>
  <c r="AB27" i="4"/>
  <c r="AC17" i="4"/>
  <c r="AC22" i="4"/>
  <c r="AC50" i="4"/>
  <c r="Z18" i="4"/>
  <c r="AB20" i="4"/>
  <c r="AB19" i="4"/>
  <c r="AC18" i="4"/>
  <c r="AC44" i="4"/>
  <c r="AB25" i="4"/>
  <c r="AA19" i="4"/>
  <c r="AC24" i="4"/>
  <c r="Z22" i="4"/>
  <c r="Y61" i="4"/>
  <c r="AA3" i="4"/>
  <c r="Y41" i="4"/>
  <c r="AA24" i="4"/>
  <c r="Z61" i="4"/>
  <c r="AA6" i="4"/>
  <c r="AB57" i="4"/>
  <c r="AC52" i="4"/>
  <c r="Z60" i="4"/>
  <c r="AC60" i="4"/>
  <c r="Y51" i="4"/>
  <c r="AB51" i="4"/>
  <c r="AC51" i="4"/>
  <c r="AA51" i="4"/>
  <c r="AA41" i="4"/>
  <c r="AC16" i="4"/>
  <c r="Y26" i="4"/>
  <c r="Z41" i="4"/>
  <c r="AB61" i="4"/>
  <c r="Y57" i="4"/>
  <c r="AA25" i="4"/>
  <c r="Z45" i="4"/>
  <c r="AB45" i="4"/>
  <c r="AA52" i="4"/>
  <c r="Z52" i="4"/>
  <c r="AB38" i="4"/>
  <c r="Y38" i="4"/>
  <c r="AA33" i="4"/>
  <c r="AB33" i="4"/>
  <c r="AC61" i="4"/>
  <c r="AC45" i="4"/>
  <c r="Y52" i="4"/>
  <c r="AC57" i="4"/>
  <c r="AC41" i="4"/>
  <c r="Z38" i="4"/>
  <c r="Z46" i="4"/>
  <c r="Y58" i="4"/>
  <c r="AB58" i="4"/>
  <c r="AA58" i="4"/>
  <c r="AB26" i="4"/>
  <c r="AA55" i="4"/>
  <c r="Z55" i="4"/>
  <c r="AC55" i="4"/>
  <c r="AB55" i="4"/>
  <c r="AA12" i="4"/>
  <c r="Y12" i="4"/>
  <c r="AB12" i="4"/>
  <c r="Z12" i="4"/>
  <c r="AC12" i="4"/>
  <c r="AA40" i="4"/>
  <c r="AB40" i="4"/>
  <c r="Y40" i="4"/>
  <c r="Z39" i="4"/>
  <c r="AA39" i="4"/>
  <c r="AC39" i="4"/>
  <c r="AB39" i="4"/>
  <c r="AA28" i="4"/>
  <c r="Y28" i="4"/>
  <c r="Z28" i="4"/>
  <c r="AB21" i="4"/>
  <c r="AA11" i="4"/>
  <c r="AB22" i="4"/>
  <c r="AA54" i="4"/>
  <c r="AC54" i="4"/>
  <c r="AB54" i="4"/>
  <c r="Y54" i="4"/>
  <c r="Z54" i="4"/>
  <c r="AC9" i="4"/>
  <c r="Z9" i="4"/>
  <c r="AB9" i="4"/>
  <c r="AA50" i="4"/>
  <c r="AC26" i="4"/>
  <c r="AA29" i="4"/>
  <c r="AC46" i="4"/>
  <c r="Z26" i="4"/>
  <c r="AB50" i="4"/>
  <c r="Z16" i="4"/>
  <c r="Y16" i="4"/>
  <c r="Z36" i="4"/>
  <c r="Y36" i="4"/>
  <c r="AB36" i="4"/>
  <c r="AC36" i="4"/>
  <c r="AA36" i="4"/>
  <c r="AC21" i="4"/>
  <c r="AB34" i="4"/>
  <c r="Z31" i="4"/>
  <c r="AB31" i="4"/>
  <c r="AA31" i="4"/>
  <c r="AC31" i="4"/>
  <c r="Y31" i="4"/>
  <c r="AB5" i="4"/>
  <c r="AC5" i="4"/>
  <c r="Z5" i="4"/>
  <c r="Y5" i="4"/>
  <c r="AC8" i="4"/>
  <c r="Z8" i="4"/>
  <c r="Y8" i="4"/>
  <c r="AC3" i="4"/>
  <c r="AB3" i="4"/>
  <c r="Y3" i="4"/>
  <c r="Z58" i="4"/>
  <c r="Y13" i="4"/>
  <c r="AB13" i="4"/>
  <c r="Z15" i="4"/>
  <c r="AA15" i="4"/>
  <c r="Z37" i="4"/>
  <c r="AB37" i="4"/>
  <c r="AC37" i="4"/>
  <c r="Z40" i="4"/>
  <c r="AB28" i="4"/>
  <c r="Z20" i="4"/>
  <c r="Y20" i="4"/>
  <c r="AA17" i="4"/>
  <c r="AA23" i="4"/>
  <c r="Z42" i="4"/>
  <c r="AB42" i="4"/>
  <c r="AA42" i="4"/>
  <c r="AC42" i="4"/>
  <c r="Y42" i="4"/>
  <c r="AB46" i="4"/>
  <c r="Z4" i="4"/>
  <c r="AB4" i="4"/>
  <c r="AC6" i="4"/>
  <c r="AB29" i="4"/>
  <c r="AA18" i="4"/>
  <c r="AC20" i="4"/>
  <c r="AC15" i="4"/>
  <c r="AB32" i="4"/>
  <c r="AC32" i="4"/>
  <c r="AA32" i="4"/>
  <c r="Z32" i="4"/>
  <c r="Y32" i="4"/>
  <c r="AA46" i="4"/>
  <c r="AC53" i="4"/>
  <c r="AB53" i="4"/>
  <c r="Z53" i="4"/>
  <c r="Y53" i="4"/>
  <c r="AC58" i="4"/>
  <c r="AB48" i="4"/>
  <c r="Y48" i="4"/>
  <c r="AA48" i="4"/>
  <c r="AC40" i="4"/>
  <c r="AA44" i="4"/>
  <c r="AB44" i="4"/>
  <c r="AC28" i="4"/>
  <c r="Y24" i="4"/>
  <c r="Z24" i="4"/>
  <c r="AA16" i="4"/>
  <c r="AA21" i="4"/>
  <c r="AB17" i="4"/>
  <c r="AC11" i="4"/>
  <c r="AB23" i="4"/>
  <c r="AA9" i="4"/>
  <c r="AB7" i="4"/>
  <c r="AC7" i="4"/>
  <c r="AB8" i="4"/>
  <c r="AA53" i="4"/>
  <c r="Z1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1" authorId="0" shapeId="0" xr:uid="{00000000-0006-0000-0300-000001000000}">
      <text>
        <r>
          <rPr>
            <sz val="10"/>
            <color rgb="FF000000"/>
            <rFont val="Arial"/>
            <scheme val="minor"/>
          </rPr>
          <t>@irina.egurtsova@picodi.com есть идеи, как можно заглавить инфографику? :)
_Assigned to Irina Egurtsova_
	-Nikolay Kashcheev
небольшое уточнение: это сумма подписок за месяц, верно?
кажется, у Лукаша была мысль брать годовые затрать…
	-Irina Egurtsova
За месяц
	-Nikolay Kashcheev
ЖИЗНЬ ПО ПОДПИСКЕ (но этот вариант часто встречается в инете…)
ПОДПИСКИ В НАШЕЙ ЖИЗНИ
ЗАЛОЖНИКИ ПОДПИСОК
Сколько стоит среднестатистический пакет подписок в разных странах мира
Сколько денег тратят подписчики разных стран мира
Какой процент от зарплаты мы ежемесячно тратим на стриминговые сервисы?
	-Irina Egurtsova
Спасибо :) жизнь по подписке имхо будет хорошо звучать в письме :)
	-Nikolay Kashcheev
Согласна, можно для писем использовать =)
	-Irina Egurtsova</t>
        </r>
      </text>
    </comment>
    <comment ref="A3" authorId="0" shapeId="0" xr:uid="{00000000-0006-0000-0300-000002000000}">
      <text>
        <r>
          <rPr>
            <sz val="10"/>
            <color rgb="FF000000"/>
            <rFont val="Arial"/>
            <scheme val="minor"/>
          </rPr>
          <t>@daria.rogut@picodi.com, przy scalaniu komórek zachowują się tylko wartości do tej komórki, którą właśnie scalowaliśmy, włączni (w tym przypadku to łączny koszt wszystkich subskrypcji). To co po prawej gubi się. FYI :)
_Assigned to Daria Rogut_
	-Nikolay Kashcheev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" authorId="0" shapeId="0" xr:uid="{00000000-0006-0000-1200-000001000000}">
      <text>
        <r>
          <rPr>
            <sz val="10"/>
            <color rgb="FF000000"/>
            <rFont val="Arial"/>
            <scheme val="minor"/>
          </rPr>
          <t>Raczej nie ma jednej ogólnoświatowej subskrypcji na siłownię, więc stwierdziłem, że chyba całkiem ok rozwiązaniem będzie wzięcie danych z Numbeo.
	-Łukasz Kurzawa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6" authorId="0" shapeId="0" xr:uid="{00000000-0006-0000-1300-000001000000}">
      <text>
        <r>
          <rPr>
            <sz val="10"/>
            <color rgb="FF000000"/>
            <rFont val="Arial"/>
            <scheme val="minor"/>
          </rPr>
          <t>Apple nie udostępnia danych dot. liczby subskrypcji (tylko zarobki z poszczególnych gałęzi). Są tylko przybliżone liczby ze Statisty i jest to liczba na 2021 rok.
	-Łukasz Kurzawa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500-000001000000}">
      <text>
        <r>
          <rPr>
            <sz val="10"/>
            <color rgb="FF000000"/>
            <rFont val="Arial"/>
            <scheme val="minor"/>
          </rPr>
          <t>@lukasz.kurzawa@picodi.com zamroziłem kursy walut, proszę korzystać z tego arkuszu przy obliczeniach
_Assigned to Łukasz Kurzawa_
	-Nikolay Kashcheev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" authorId="0" shapeId="0" xr:uid="{00000000-0006-0000-0700-000002000000}">
      <text>
        <r>
          <rPr>
            <sz val="10"/>
            <color rgb="FF000000"/>
            <rFont val="Arial"/>
            <scheme val="minor"/>
          </rPr>
          <t>Link do listy krajów i cen: https://help.netflix.com/en/node/24926/af
	-Łukasz Kurzawa</t>
        </r>
      </text>
    </comment>
    <comment ref="G1" authorId="0" shapeId="0" xr:uid="{00000000-0006-0000-0700-000003000000}">
      <text>
        <r>
          <rPr>
            <sz val="10"/>
            <color rgb="FF000000"/>
            <rFont val="Arial"/>
            <scheme val="minor"/>
          </rPr>
          <t>Waluta użyta na stronie Netflixa, może różnić się od waluty obowiązującej w danym kraju - zaznaczone na kolor pomarańczowy, a waluta wpisana w kolumny C, D i E.
Poprawne waluty, które obowiązują - zaznaczone na zielono.
	-Łukasz Kurzawa</t>
        </r>
      </text>
    </comment>
    <comment ref="K1" authorId="0" shapeId="0" xr:uid="{00000000-0006-0000-0700-000001000000}">
      <text>
        <r>
          <rPr>
            <sz val="10"/>
            <color rgb="FF000000"/>
            <rFont val="Arial"/>
            <scheme val="minor"/>
          </rPr>
          <t>Na pomarańczowo zaznaczone kraje, w których cena podana była w innej walucie niż ta obowiązująca w kraju - cena w walucie obowiązującej obliczona przez Google Finance z waluty, która podana była na stronie.
	-Łukasz Kurzawa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" authorId="0" shapeId="0" xr:uid="{00000000-0006-0000-0A00-000001000000}">
      <text>
        <r>
          <rPr>
            <sz val="10"/>
            <color rgb="FF000000"/>
            <rFont val="Arial"/>
            <scheme val="minor"/>
          </rPr>
          <t>Linki użyte żeby sprawdzić kraje i ceny: https://help.disneyplus.com/csp?id=csp_article_content&amp;article=introduction
https://en.wikipedia.org/wiki/Disney%2B
https://variety.com/2022/digital/global/disney-plus-launch-dates-pricing-europe-middle-east-africa-1235217714/
	-Łukasz Kurzawa</t>
        </r>
      </text>
    </comment>
    <comment ref="C65" authorId="0" shapeId="0" xr:uid="{00000000-0006-0000-0A00-000003000000}">
      <text>
        <r>
          <rPr>
            <sz val="10"/>
            <color rgb="FF000000"/>
            <rFont val="Arial"/>
            <scheme val="minor"/>
          </rPr>
          <t>Cena łącznie z HBO GO: https://product.astro.com.my/apps/disney
	-Łukasz Kurzawa</t>
        </r>
      </text>
    </comment>
    <comment ref="C67" authorId="0" shapeId="0" xr:uid="{00000000-0006-0000-0A00-000002000000}">
      <text>
        <r>
          <rPr>
            <sz val="10"/>
            <color rgb="FF000000"/>
            <rFont val="Arial"/>
            <scheme val="minor"/>
          </rPr>
          <t>W Canal+ https://www.canalplus-maurice.com/offres-tv - nie mogę znaleźć ceny samego disney+
	-Łukasz Kurzawa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" authorId="0" shapeId="0" xr:uid="{00000000-0006-0000-0B00-000003000000}">
      <text>
        <r>
          <rPr>
            <sz val="10"/>
            <color rgb="FF000000"/>
            <rFont val="Arial"/>
            <scheme val="minor"/>
          </rPr>
          <t>Linki użyte żeby zrobić listę: https://help.hbomax.com/us/Answer/Detail/000001289
https://en.wikipedia.org/wiki/HBO_Max
https://pressroom.warnermedia.com/us/media-release/hbo-max-now-streaming-61-territories-worldwide?language_content_entity=en
	-Łukasz Kurzawa</t>
        </r>
      </text>
    </comment>
    <comment ref="C1" authorId="0" shapeId="0" xr:uid="{00000000-0006-0000-0B00-000002000000}">
      <text>
        <r>
          <rPr>
            <sz val="10"/>
            <color rgb="FF000000"/>
            <rFont val="Arial"/>
            <scheme val="minor"/>
          </rPr>
          <t>Jest mega trudno znaleźć oficjalne dane odnośnie ceny (nie można ich znaleźć na stronie HBO, chyba że może przy użyciu VPNu). Są to dane nieco starsze i też nie są wzięte prosto od HBO, więc troszkę z przymrużeniem oka.
Linki do stron, z których wziąłem dane:
EU: https://streamingguider.com/hbo-max-price-europe-offer/
https://www.thewrap.com/how-much-does-hbo-max-cost-europe-spain-sweden/
LATAM: https://thestreamable.com/news/hbo-max-in-latam-breakdown-of-costs-comparisons-to-disney-plus-netflix
	-Łukasz Kurzawa</t>
        </r>
      </text>
    </comment>
    <comment ref="C65" authorId="0" shapeId="0" xr:uid="{00000000-0006-0000-0B00-000001000000}">
      <text>
        <r>
          <rPr>
            <sz val="10"/>
            <color rgb="FF000000"/>
            <rFont val="Arial"/>
            <scheme val="minor"/>
          </rPr>
          <t>Cena z Disney+
	-Łukasz Kurzawa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" authorId="0" shapeId="0" xr:uid="{00000000-0006-0000-0C00-000001000000}">
      <text>
        <r>
          <rPr>
            <sz val="10"/>
            <color rgb="FF000000"/>
            <rFont val="Arial"/>
            <scheme val="minor"/>
          </rPr>
          <t>Lista i ceny: https://www.spotify.com/us/select-your-country-region/
	-Łukasz Kurzawa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" authorId="0" shapeId="0" xr:uid="{00000000-0006-0000-0D00-000002000000}">
      <text>
        <r>
          <rPr>
            <sz val="10"/>
            <color rgb="FF000000"/>
            <rFont val="Arial"/>
            <scheme val="minor"/>
          </rPr>
          <t>https://support.apple.com/en-us/HT204411
	-Łukasz Kurzawa</t>
        </r>
      </text>
    </comment>
    <comment ref="C1" authorId="0" shapeId="0" xr:uid="{00000000-0006-0000-0D00-000001000000}">
      <text>
        <r>
          <rPr>
            <sz val="10"/>
            <color rgb="FF000000"/>
            <rFont val="Arial"/>
            <scheme val="minor"/>
          </rPr>
          <t>Ceny ze strony: https://www.apple.com/pl/apple-music/ dla danego kraju.
	-Łukasz Kurzawa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" authorId="0" shapeId="0" xr:uid="{00000000-0006-0000-0E00-000005000000}">
      <text>
        <r>
          <rPr>
            <sz val="10"/>
            <color rgb="FF000000"/>
            <rFont val="Arial"/>
            <scheme val="minor"/>
          </rPr>
          <t>Ogólnie z Prime jest taki problem, że Amazon Prime sam w sobie dostępny jest tylko w 22 krajach (wg danych z 2021). Z kolei Prime Video jest dostępne niemalże na całym świecie (ponad 200 krajów): 
https://www.primevideo.com/help/ref=atv_hp_nd_cnt?nodeId=GD5REBNJD74BURF6
https://earthweb.com/amazon-prime-statistics/
Wg. tej strony: https://www.cabletv.com/amazon-prime-video
Prime Video kosztuje $8.99
natomiast Amazon Prime - $14.99
No ale do tego dochodzi sprawa lokalnych walut, ponieważ w niektórych krajach możliwe jest płacenie w walucie lokalnej zamiast ogólnych dolarów/euro.
Lista krajów z walutą lokalną: https://www.primevideo.com/help/ref=atv_hp_nd_cnt?nodeId=G8P3YMHU34R3XX4N
Dane z ceną nie są ogólnodostępne (tak jak np. przy Netflixie), ale przypuszczam, że dałoby się posprawdzać te dane przy użyciu VPNa?
	-Łukasz Kurzawa</t>
        </r>
      </text>
    </comment>
    <comment ref="D6" authorId="0" shapeId="0" xr:uid="{00000000-0006-0000-0E00-000001000000}">
      <text>
        <r>
          <rPr>
            <sz val="10"/>
            <color rgb="FF000000"/>
            <rFont val="Arial"/>
            <scheme val="minor"/>
          </rPr>
          <t>"Jednak do tej ceny należy doliczyć 21% VAT, 8% podatku krajowego i 45% podatku od usług zagranicznych. Tak więc ostateczna cena Amazon Prime wynosi około 572,82 pesos."
źródło: https://www.iprofesional.com/tecnologia/367052-amazon-prime-en-argentina-agosto-2022-precios-y-planes</t>
        </r>
      </text>
    </comment>
    <comment ref="D22" authorId="0" shapeId="0" xr:uid="{00000000-0006-0000-0E00-000002000000}">
      <text>
        <r>
          <rPr>
            <sz val="10"/>
            <color rgb="FF000000"/>
            <rFont val="Arial"/>
            <scheme val="minor"/>
          </rPr>
          <t xml:space="preserve">Rabini są niezdecydowani:
https://roams.com.co/companias-telefonicas/blog/television/amazon-prime/
https://technocio.com/prime-video-lanza-el-trailer-y-arte-oficial-de-cochina-envidia/#:~:text=Prime%20Video%20est%C3%A1%20disponible%20en,conocer%20m%C3%A1s%20en%20primevideo.com.
https://www.semana.com/tecnologia/articulo/amazon-prime-subira-el-valor-de-su-suscripcion-cuanto-costara/202212/
</t>
        </r>
      </text>
    </comment>
    <comment ref="D83" authorId="0" shapeId="0" xr:uid="{00000000-0006-0000-0E00-000003000000}">
      <text>
        <r>
          <rPr>
            <sz val="10"/>
            <color rgb="FF000000"/>
            <rFont val="Arial"/>
            <scheme val="minor"/>
          </rPr>
          <t xml:space="preserve">źródło: https://selectra.com.pe/streaming/amazon-prime </t>
        </r>
      </text>
    </comment>
    <comment ref="D85" authorId="0" shapeId="0" xr:uid="{00000000-0006-0000-0E00-000004000000}">
      <text>
        <r>
          <rPr>
            <sz val="10"/>
            <color rgb="FF000000"/>
            <rFont val="Arial"/>
            <scheme val="minor"/>
          </rPr>
          <t>@lukasz.kurzawa@picodi.com a gdzie znajduje się lokalny cennik? W PL widzę tylko Amazon Prime za 49 PLN rocznie
_Assigned to Łukasz Kurzawa_
	-Nikolay Kashcheev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" authorId="0" shapeId="0" xr:uid="{00000000-0006-0000-1100-00000B000000}">
      <text>
        <r>
          <rPr>
            <sz val="10"/>
            <color rgb="FF000000"/>
            <rFont val="Arial"/>
            <scheme val="minor"/>
          </rPr>
          <t>Lista: https://support.google.com/youtube/answer/6307365?hl=en#zippy=%2Cpremium-memberships-available-locations
	-Łukasz Kurzawa</t>
        </r>
      </text>
    </comment>
    <comment ref="D1" authorId="0" shapeId="0" xr:uid="{00000000-0006-0000-1100-00000A000000}">
      <text>
        <r>
          <rPr>
            <sz val="10"/>
            <color rgb="FF000000"/>
            <rFont val="Arial"/>
            <scheme val="minor"/>
          </rPr>
          <t>Ceny wzięte z: https://www.kodino.com/uk/youtube-premium-subscription-prices-by-country
https://www.kodino.com/uk/get-youtube-premium-without-ads-for-only-30p-per-month-heres-a-tutorial-how-to-activate-it
	-Łukasz Kurzawa</t>
        </r>
      </text>
    </comment>
    <comment ref="D14" authorId="0" shapeId="0" xr:uid="{00000000-0006-0000-1100-000009000000}">
      <text>
        <r>
          <rPr>
            <sz val="10"/>
            <color rgb="FF000000"/>
            <rFont val="Arial"/>
            <scheme val="minor"/>
          </rPr>
          <t>przenosi na HU
	-Łukasz Kurzawa</t>
        </r>
      </text>
    </comment>
    <comment ref="D27" authorId="0" shapeId="0" xr:uid="{00000000-0006-0000-1100-000008000000}">
      <text>
        <r>
          <rPr>
            <sz val="10"/>
            <color rgb="FF000000"/>
            <rFont val="Arial"/>
            <scheme val="minor"/>
          </rPr>
          <t>przenosi na IN
	-Łukasz Kurzawa</t>
        </r>
      </text>
    </comment>
    <comment ref="D34" authorId="0" shapeId="0" xr:uid="{00000000-0006-0000-1100-000007000000}">
      <text>
        <r>
          <rPr>
            <sz val="10"/>
            <color rgb="FF000000"/>
            <rFont val="Arial"/>
            <scheme val="minor"/>
          </rPr>
          <t>przenosi na SE
	-Łukasz Kurzawa</t>
        </r>
      </text>
    </comment>
    <comment ref="D50" authorId="0" shapeId="0" xr:uid="{00000000-0006-0000-1100-000006000000}">
      <text>
        <r>
          <rPr>
            <sz val="10"/>
            <color rgb="FF000000"/>
            <rFont val="Arial"/>
            <scheme val="minor"/>
          </rPr>
          <t>przenosi na GB
	-Łukasz Kurzawa</t>
        </r>
      </text>
    </comment>
    <comment ref="D51" authorId="0" shapeId="0" xr:uid="{00000000-0006-0000-1100-000005000000}">
      <text>
        <r>
          <rPr>
            <sz val="10"/>
            <color rgb="FF000000"/>
            <rFont val="Arial"/>
            <scheme val="minor"/>
          </rPr>
          <t>przenosi na LB
	-Łukasz Kurzawa</t>
        </r>
      </text>
    </comment>
    <comment ref="D93" authorId="0" shapeId="0" xr:uid="{00000000-0006-0000-1100-000004000000}">
      <text>
        <r>
          <rPr>
            <sz val="10"/>
            <color rgb="FF000000"/>
            <rFont val="Arial"/>
            <scheme val="minor"/>
          </rPr>
          <t>przenosi na NL
	-Łukasz Kurzawa</t>
        </r>
      </text>
    </comment>
    <comment ref="D96" authorId="0" shapeId="0" xr:uid="{00000000-0006-0000-1100-000003000000}">
      <text>
        <r>
          <rPr>
            <sz val="10"/>
            <color rgb="FF000000"/>
            <rFont val="Arial"/>
            <scheme val="minor"/>
          </rPr>
          <t>przenosi na IN
	-Łukasz Kurzawa</t>
        </r>
      </text>
    </comment>
    <comment ref="D98" authorId="0" shapeId="0" xr:uid="{00000000-0006-0000-1100-000002000000}">
      <text>
        <r>
          <rPr>
            <sz val="10"/>
            <color rgb="FF000000"/>
            <rFont val="Arial"/>
            <scheme val="minor"/>
          </rPr>
          <t>przenosi na JP
	-Łukasz Kurzawa</t>
        </r>
      </text>
    </comment>
    <comment ref="D106" authorId="0" shapeId="0" xr:uid="{00000000-0006-0000-1100-000001000000}">
      <text>
        <r>
          <rPr>
            <sz val="10"/>
            <color rgb="FF000000"/>
            <rFont val="Arial"/>
            <scheme val="minor"/>
          </rPr>
          <t>przenosi na ID
	-Łukasz Kurzawa</t>
        </r>
      </text>
    </comment>
  </commentList>
</comments>
</file>

<file path=xl/sharedStrings.xml><?xml version="1.0" encoding="utf-8"?>
<sst xmlns="http://schemas.openxmlformats.org/spreadsheetml/2006/main" count="11300" uniqueCount="1080">
  <si>
    <t>Prices in USD</t>
  </si>
  <si>
    <t>Prices in EUR</t>
  </si>
  <si>
    <t>Netflix</t>
  </si>
  <si>
    <t>Prime Video</t>
  </si>
  <si>
    <t>Spotify</t>
  </si>
  <si>
    <t>Scribd</t>
  </si>
  <si>
    <t>Xbox Game Pass</t>
  </si>
  <si>
    <t>Total</t>
  </si>
  <si>
    <t>Average Net Wage</t>
  </si>
  <si>
    <t>Currency</t>
  </si>
  <si>
    <t>Total / Average Wage (%)</t>
  </si>
  <si>
    <t>Rank</t>
  </si>
  <si>
    <t>Netflix USD</t>
  </si>
  <si>
    <t>Prime Video USD</t>
  </si>
  <si>
    <t>Spotify USD</t>
  </si>
  <si>
    <t>Scribd USD</t>
  </si>
  <si>
    <t>Game Pass USD</t>
  </si>
  <si>
    <t>Total USD</t>
  </si>
  <si>
    <t>Netflix EUR</t>
  </si>
  <si>
    <t>Prime Video EUR</t>
  </si>
  <si>
    <t>Spotify EUR</t>
  </si>
  <si>
    <t>Scribd EUR</t>
  </si>
  <si>
    <t>Game Pass EUR</t>
  </si>
  <si>
    <t>Total EUR</t>
  </si>
  <si>
    <t>Rank USD</t>
  </si>
  <si>
    <t>ch</t>
  </si>
  <si>
    <t>us</t>
  </si>
  <si>
    <t>uk</t>
  </si>
  <si>
    <t>at</t>
  </si>
  <si>
    <t>de</t>
  </si>
  <si>
    <t>ie</t>
  </si>
  <si>
    <t>fr</t>
  </si>
  <si>
    <t>fi</t>
  </si>
  <si>
    <t>es</t>
  </si>
  <si>
    <t>it</t>
  </si>
  <si>
    <t>no</t>
  </si>
  <si>
    <t>se</t>
  </si>
  <si>
    <t>ca</t>
  </si>
  <si>
    <t>il</t>
  </si>
  <si>
    <t>nl</t>
  </si>
  <si>
    <t>gr</t>
  </si>
  <si>
    <t>cz</t>
  </si>
  <si>
    <t>ee</t>
  </si>
  <si>
    <t>lt</t>
  </si>
  <si>
    <t>lv</t>
  </si>
  <si>
    <t>pt</t>
  </si>
  <si>
    <t>hr</t>
  </si>
  <si>
    <t>sk</t>
  </si>
  <si>
    <t>nz</t>
  </si>
  <si>
    <t>kz</t>
  </si>
  <si>
    <t>rs</t>
  </si>
  <si>
    <t>md</t>
  </si>
  <si>
    <t>al</t>
  </si>
  <si>
    <t>ba</t>
  </si>
  <si>
    <t>bg</t>
  </si>
  <si>
    <t>me</t>
  </si>
  <si>
    <t>mk</t>
  </si>
  <si>
    <t>au</t>
  </si>
  <si>
    <t>mx</t>
  </si>
  <si>
    <t>sa</t>
  </si>
  <si>
    <t>kr</t>
  </si>
  <si>
    <t>sg</t>
  </si>
  <si>
    <t>ua</t>
  </si>
  <si>
    <t>pe</t>
  </si>
  <si>
    <t>ro</t>
  </si>
  <si>
    <t>hk</t>
  </si>
  <si>
    <t>ng</t>
  </si>
  <si>
    <t>jp</t>
  </si>
  <si>
    <t>cl</t>
  </si>
  <si>
    <t>ae</t>
  </si>
  <si>
    <t>pl</t>
  </si>
  <si>
    <t>eg</t>
  </si>
  <si>
    <t>hu</t>
  </si>
  <si>
    <t>my</t>
  </si>
  <si>
    <t>pk</t>
  </si>
  <si>
    <t>za</t>
  </si>
  <si>
    <t>id</t>
  </si>
  <si>
    <t>br</t>
  </si>
  <si>
    <t>th</t>
  </si>
  <si>
    <t>vn</t>
  </si>
  <si>
    <t>co</t>
  </si>
  <si>
    <t>ph</t>
  </si>
  <si>
    <t>in</t>
  </si>
  <si>
    <t>ar</t>
  </si>
  <si>
    <t>tr</t>
  </si>
  <si>
    <t>EUR</t>
  </si>
  <si>
    <t>USD</t>
  </si>
  <si>
    <t>Prices in local currencies
(converted into local currency if a platform uses EUR/USD)</t>
  </si>
  <si>
    <t>Albania</t>
  </si>
  <si>
    <t>ALL</t>
  </si>
  <si>
    <t>Argentina</t>
  </si>
  <si>
    <t>ARS</t>
  </si>
  <si>
    <t>Australia</t>
  </si>
  <si>
    <t>AUD</t>
  </si>
  <si>
    <t>Austria</t>
  </si>
  <si>
    <t>Bosnia and Herzegovina</t>
  </si>
  <si>
    <t>BAM</t>
  </si>
  <si>
    <t>Brazil</t>
  </si>
  <si>
    <t>BRL</t>
  </si>
  <si>
    <t>Bulgaria</t>
  </si>
  <si>
    <t>BGN</t>
  </si>
  <si>
    <t>Canada</t>
  </si>
  <si>
    <t>CAD</t>
  </si>
  <si>
    <t>Chile</t>
  </si>
  <si>
    <t>CLP</t>
  </si>
  <si>
    <t>Colombia</t>
  </si>
  <si>
    <t>COP</t>
  </si>
  <si>
    <t>Croatia</t>
  </si>
  <si>
    <t>HRK</t>
  </si>
  <si>
    <t>Czechia</t>
  </si>
  <si>
    <t>CZK</t>
  </si>
  <si>
    <t>Egypt</t>
  </si>
  <si>
    <t>EGP</t>
  </si>
  <si>
    <t>Estonia</t>
  </si>
  <si>
    <t>Finland</t>
  </si>
  <si>
    <t>France</t>
  </si>
  <si>
    <t>Germany</t>
  </si>
  <si>
    <t>Greece</t>
  </si>
  <si>
    <t>Hong Kong</t>
  </si>
  <si>
    <t>HKD</t>
  </si>
  <si>
    <t>Hungary</t>
  </si>
  <si>
    <t>HUF</t>
  </si>
  <si>
    <t>India</t>
  </si>
  <si>
    <t>INR</t>
  </si>
  <si>
    <t>Indonesia</t>
  </si>
  <si>
    <t>IDR</t>
  </si>
  <si>
    <t>Ireland</t>
  </si>
  <si>
    <t>Israel</t>
  </si>
  <si>
    <t>ILS</t>
  </si>
  <si>
    <t>Italy</t>
  </si>
  <si>
    <t>Japan</t>
  </si>
  <si>
    <t>JPY</t>
  </si>
  <si>
    <t>Kazakhstan</t>
  </si>
  <si>
    <t>KZT</t>
  </si>
  <si>
    <t>Latvia</t>
  </si>
  <si>
    <t>Lithuania</t>
  </si>
  <si>
    <t>Malaysia</t>
  </si>
  <si>
    <t>MYR</t>
  </si>
  <si>
    <t>Mexico</t>
  </si>
  <si>
    <t>MXN</t>
  </si>
  <si>
    <t>Moldova</t>
  </si>
  <si>
    <t>MDL</t>
  </si>
  <si>
    <t>Montenegro</t>
  </si>
  <si>
    <t>Netherlands</t>
  </si>
  <si>
    <t>New Zealand</t>
  </si>
  <si>
    <t>NZD</t>
  </si>
  <si>
    <t>Nigeria</t>
  </si>
  <si>
    <t>NGN</t>
  </si>
  <si>
    <t>North Macedonia</t>
  </si>
  <si>
    <t>MKD</t>
  </si>
  <si>
    <t>Norway</t>
  </si>
  <si>
    <t>NOK</t>
  </si>
  <si>
    <t>Pakistan</t>
  </si>
  <si>
    <t>PKR</t>
  </si>
  <si>
    <t>Peru</t>
  </si>
  <si>
    <t>PEN</t>
  </si>
  <si>
    <t>Philippines</t>
  </si>
  <si>
    <t>PHP</t>
  </si>
  <si>
    <t>Poland</t>
  </si>
  <si>
    <t>PLN</t>
  </si>
  <si>
    <t>Portugal</t>
  </si>
  <si>
    <t>Romania</t>
  </si>
  <si>
    <t>RON</t>
  </si>
  <si>
    <t>Saudi Arabia</t>
  </si>
  <si>
    <t>SAR</t>
  </si>
  <si>
    <t>Serbia</t>
  </si>
  <si>
    <t>RSD</t>
  </si>
  <si>
    <t>Singapore</t>
  </si>
  <si>
    <t>SGD</t>
  </si>
  <si>
    <t>Slovakia</t>
  </si>
  <si>
    <t>South Africa</t>
  </si>
  <si>
    <t>ZAR</t>
  </si>
  <si>
    <t>South Korea</t>
  </si>
  <si>
    <t>KRW</t>
  </si>
  <si>
    <t>Spain</t>
  </si>
  <si>
    <t>Sweden</t>
  </si>
  <si>
    <t>SEK</t>
  </si>
  <si>
    <t>Switzerland</t>
  </si>
  <si>
    <t>CHF</t>
  </si>
  <si>
    <t>Thailand</t>
  </si>
  <si>
    <t>THB</t>
  </si>
  <si>
    <t>Turkey</t>
  </si>
  <si>
    <t>TRY</t>
  </si>
  <si>
    <t>UAE</t>
  </si>
  <si>
    <t>AED</t>
  </si>
  <si>
    <t>Ukraine</t>
  </si>
  <si>
    <t>UAH</t>
  </si>
  <si>
    <t>United Kingdom</t>
  </si>
  <si>
    <t>GBP</t>
  </si>
  <si>
    <t>United States</t>
  </si>
  <si>
    <t>Vietnam</t>
  </si>
  <si>
    <t>VND</t>
  </si>
  <si>
    <r>
      <rPr>
        <b/>
        <sz val="18"/>
        <color theme="1"/>
        <rFont val="Arial"/>
      </rPr>
      <t xml:space="preserve">ROZRYWKA NA ABONAMENT
</t>
    </r>
    <r>
      <rPr>
        <b/>
        <sz val="12"/>
        <color theme="1"/>
        <rFont val="Arial"/>
      </rPr>
      <t>Ile miesięcznie kosztują nas subskrypcje platform rozrywkowych i jaki procent dochodu pochłaniają?</t>
    </r>
  </si>
  <si>
    <t>РАЗВЛЕЧЕНИЯ ПО ПОДПИСКЕ
Стоимость месячных подписок и их соотношение со средними зарплатами</t>
  </si>
  <si>
    <t>Цены отдельных сервисов</t>
  </si>
  <si>
    <t>Ввести максимальную ширину прогрессбара:</t>
  </si>
  <si>
    <t xml:space="preserve">Ширина отдельных сегментов прогрессбара ↓ </t>
  </si>
  <si>
    <t>Koszt 5 subksrypcji (EUR)</t>
  </si>
  <si>
    <t>Pakiet subskrypcji vs średnie wynagrodzenie</t>
  </si>
  <si>
    <t>Список стран с флагами ↓</t>
  </si>
  <si>
    <r>
      <rPr>
        <b/>
        <sz val="10"/>
        <color theme="1"/>
        <rFont val="Arial"/>
      </rPr>
      <t xml:space="preserve">Стоимость подписок (EUR) </t>
    </r>
    <r>
      <rPr>
        <i/>
        <sz val="10"/>
        <color theme="1"/>
        <rFont val="Arial"/>
      </rPr>
      <t>– прогрессбар</t>
    </r>
  </si>
  <si>
    <t>Затраты на подписки в соотношении со средней зарплатой</t>
  </si>
  <si>
    <t>Game Pass</t>
  </si>
  <si>
    <t>TOTAL</t>
  </si>
  <si>
    <t xml:space="preserve">Źródło: Picodi.com. Uwzględniono standardowe subsksypcje indywidualne oraz wynagodzenia miesięczne netto. Сeny stanem na październik 2022 roku. Przekonwertowano po kursie z pierwszej połowy października 2022 r. </t>
  </si>
  <si>
    <t>KOD KRAJU</t>
  </si>
  <si>
    <t>KRAJ</t>
  </si>
  <si>
    <t>KOD WALUTY</t>
  </si>
  <si>
    <t>USD/X</t>
  </si>
  <si>
    <t>EUR/X</t>
  </si>
  <si>
    <t>AD</t>
  </si>
  <si>
    <t>Andora</t>
  </si>
  <si>
    <t>AE</t>
  </si>
  <si>
    <t>ZEA</t>
  </si>
  <si>
    <t>AL</t>
  </si>
  <si>
    <t>AM</t>
  </si>
  <si>
    <t>Armenia</t>
  </si>
  <si>
    <t>AMD</t>
  </si>
  <si>
    <t>AR</t>
  </si>
  <si>
    <t>Argentyna</t>
  </si>
  <si>
    <t>AT</t>
  </si>
  <si>
    <t>AU</t>
  </si>
  <si>
    <t>AZ</t>
  </si>
  <si>
    <t>Azerbejdżan</t>
  </si>
  <si>
    <t>AZN</t>
  </si>
  <si>
    <t>BA</t>
  </si>
  <si>
    <t>Bośnia i Hercegowina</t>
  </si>
  <si>
    <t>BD</t>
  </si>
  <si>
    <t>Bangladesz</t>
  </si>
  <si>
    <t>BDT</t>
  </si>
  <si>
    <t>BE</t>
  </si>
  <si>
    <t>Belgia</t>
  </si>
  <si>
    <t>BG</t>
  </si>
  <si>
    <t>Bułgaria</t>
  </si>
  <si>
    <t>BO</t>
  </si>
  <si>
    <t>Boliwia</t>
  </si>
  <si>
    <t>BOB</t>
  </si>
  <si>
    <t>BR</t>
  </si>
  <si>
    <t>Brazylia</t>
  </si>
  <si>
    <t>BW</t>
  </si>
  <si>
    <t>Botswana</t>
  </si>
  <si>
    <t>BWP</t>
  </si>
  <si>
    <t>BY</t>
  </si>
  <si>
    <t>Białoruś</t>
  </si>
  <si>
    <t>BYN</t>
  </si>
  <si>
    <t>CA</t>
  </si>
  <si>
    <t>Kanada</t>
  </si>
  <si>
    <t>CH</t>
  </si>
  <si>
    <t>Szwajcaria</t>
  </si>
  <si>
    <t>CI</t>
  </si>
  <si>
    <t>Wybrzeże Kości Słoniowej</t>
  </si>
  <si>
    <t>XOF</t>
  </si>
  <si>
    <t>CL</t>
  </si>
  <si>
    <t>CM</t>
  </si>
  <si>
    <t>Kamerun</t>
  </si>
  <si>
    <t>XAF</t>
  </si>
  <si>
    <t>CN</t>
  </si>
  <si>
    <t>Chiny</t>
  </si>
  <si>
    <t>CNY</t>
  </si>
  <si>
    <t>CO</t>
  </si>
  <si>
    <t>Kolumbia</t>
  </si>
  <si>
    <t>CR</t>
  </si>
  <si>
    <t>Kostaryka</t>
  </si>
  <si>
    <t>CRC</t>
  </si>
  <si>
    <t>CU</t>
  </si>
  <si>
    <t>Kuba</t>
  </si>
  <si>
    <t>CY</t>
  </si>
  <si>
    <t>Cypr</t>
  </si>
  <si>
    <t>CZ</t>
  </si>
  <si>
    <t>Czechy</t>
  </si>
  <si>
    <t>DE</t>
  </si>
  <si>
    <t>Niemcy</t>
  </si>
  <si>
    <t>DK</t>
  </si>
  <si>
    <t>Dania</t>
  </si>
  <si>
    <t>DKK</t>
  </si>
  <si>
    <t>DO</t>
  </si>
  <si>
    <t>Dominikana</t>
  </si>
  <si>
    <t>DOP</t>
  </si>
  <si>
    <t>DZ</t>
  </si>
  <si>
    <t>Algieria</t>
  </si>
  <si>
    <t>DZD</t>
  </si>
  <si>
    <t>EC</t>
  </si>
  <si>
    <t>Ekwador</t>
  </si>
  <si>
    <t>EE</t>
  </si>
  <si>
    <t>EG</t>
  </si>
  <si>
    <t>Egipt</t>
  </si>
  <si>
    <t>ES</t>
  </si>
  <si>
    <t>Hiszpania</t>
  </si>
  <si>
    <t>FI</t>
  </si>
  <si>
    <t>Finlandia</t>
  </si>
  <si>
    <t>FR</t>
  </si>
  <si>
    <t>Francja</t>
  </si>
  <si>
    <t>GE</t>
  </si>
  <si>
    <t>Gruzja</t>
  </si>
  <si>
    <t>GEL</t>
  </si>
  <si>
    <t>GH</t>
  </si>
  <si>
    <t>Ghana</t>
  </si>
  <si>
    <t>GHS</t>
  </si>
  <si>
    <t>GR</t>
  </si>
  <si>
    <t>Grecja</t>
  </si>
  <si>
    <t>GT</t>
  </si>
  <si>
    <t>Gwatemala</t>
  </si>
  <si>
    <t>GTQ</t>
  </si>
  <si>
    <t>HK</t>
  </si>
  <si>
    <t>Hongkong</t>
  </si>
  <si>
    <t>HN</t>
  </si>
  <si>
    <t>Honduras</t>
  </si>
  <si>
    <t>HNL</t>
  </si>
  <si>
    <t>HR</t>
  </si>
  <si>
    <t>Chorwacja</t>
  </si>
  <si>
    <t>HU</t>
  </si>
  <si>
    <t>Węgry</t>
  </si>
  <si>
    <t>ID</t>
  </si>
  <si>
    <t>Indonezja</t>
  </si>
  <si>
    <t>IE</t>
  </si>
  <si>
    <t>Irlandia</t>
  </si>
  <si>
    <t>IL</t>
  </si>
  <si>
    <t>Izrael</t>
  </si>
  <si>
    <t>IN</t>
  </si>
  <si>
    <t>Indie</t>
  </si>
  <si>
    <t>IQ</t>
  </si>
  <si>
    <t>Irak</t>
  </si>
  <si>
    <t>IQD</t>
  </si>
  <si>
    <t>IR</t>
  </si>
  <si>
    <t>Iran</t>
  </si>
  <si>
    <t>IRR</t>
  </si>
  <si>
    <t>IS</t>
  </si>
  <si>
    <t>Islandia</t>
  </si>
  <si>
    <t>ISK</t>
  </si>
  <si>
    <t>IT</t>
  </si>
  <si>
    <t>Włochy</t>
  </si>
  <si>
    <t>JM</t>
  </si>
  <si>
    <t>Jamajka</t>
  </si>
  <si>
    <t>JMD</t>
  </si>
  <si>
    <t>JO</t>
  </si>
  <si>
    <t>Jordania</t>
  </si>
  <si>
    <t>JOD</t>
  </si>
  <si>
    <t>JP</t>
  </si>
  <si>
    <t>Japonia</t>
  </si>
  <si>
    <t>KE</t>
  </si>
  <si>
    <t>Kenia</t>
  </si>
  <si>
    <t>KES</t>
  </si>
  <si>
    <t>KG</t>
  </si>
  <si>
    <t>Kirgistan</t>
  </si>
  <si>
    <t>KGS</t>
  </si>
  <si>
    <t>KH</t>
  </si>
  <si>
    <t>Kambodża</t>
  </si>
  <si>
    <t>KHR</t>
  </si>
  <si>
    <t>KR</t>
  </si>
  <si>
    <t>Korea Południowa</t>
  </si>
  <si>
    <t>KW</t>
  </si>
  <si>
    <t>Kuwejt</t>
  </si>
  <si>
    <t>KWD</t>
  </si>
  <si>
    <t>KZ</t>
  </si>
  <si>
    <t>Kazachstan</t>
  </si>
  <si>
    <t>LA</t>
  </si>
  <si>
    <t>Laos</t>
  </si>
  <si>
    <t>LAK</t>
  </si>
  <si>
    <t>LB</t>
  </si>
  <si>
    <t>Liban</t>
  </si>
  <si>
    <t>LBP</t>
  </si>
  <si>
    <t>LI</t>
  </si>
  <si>
    <t>Liechtenstein</t>
  </si>
  <si>
    <t>LK</t>
  </si>
  <si>
    <t>Sri Lanka</t>
  </si>
  <si>
    <t>LKR</t>
  </si>
  <si>
    <t>LT</t>
  </si>
  <si>
    <t>Litwa</t>
  </si>
  <si>
    <t>LU</t>
  </si>
  <si>
    <t>Luksemburg</t>
  </si>
  <si>
    <t>LV</t>
  </si>
  <si>
    <t>Łotwa</t>
  </si>
  <si>
    <t>MA</t>
  </si>
  <si>
    <t>Maroko</t>
  </si>
  <si>
    <t>MAD</t>
  </si>
  <si>
    <t>MD</t>
  </si>
  <si>
    <t>Mołdawia</t>
  </si>
  <si>
    <t>ME</t>
  </si>
  <si>
    <t>Czarnogóra</t>
  </si>
  <si>
    <t>MG</t>
  </si>
  <si>
    <t>Madagaskar</t>
  </si>
  <si>
    <t>MGA</t>
  </si>
  <si>
    <t>MK</t>
  </si>
  <si>
    <t>Macedonia Północna</t>
  </si>
  <si>
    <t>MT</t>
  </si>
  <si>
    <t>Malta</t>
  </si>
  <si>
    <t>MU</t>
  </si>
  <si>
    <t>Mauritius</t>
  </si>
  <si>
    <t>MUR</t>
  </si>
  <si>
    <t>MX</t>
  </si>
  <si>
    <t>Meksyk</t>
  </si>
  <si>
    <t>MY</t>
  </si>
  <si>
    <t>Malezja</t>
  </si>
  <si>
    <t>NA</t>
  </si>
  <si>
    <t>Namibia</t>
  </si>
  <si>
    <t>NAD</t>
  </si>
  <si>
    <t>NG</t>
  </si>
  <si>
    <t>NI</t>
  </si>
  <si>
    <t>Nikaragua</t>
  </si>
  <si>
    <t>NIO</t>
  </si>
  <si>
    <t>NL</t>
  </si>
  <si>
    <t>Holandia</t>
  </si>
  <si>
    <t>NO</t>
  </si>
  <si>
    <t>Norwegia</t>
  </si>
  <si>
    <t>NP</t>
  </si>
  <si>
    <t>Nepal</t>
  </si>
  <si>
    <t>NPR</t>
  </si>
  <si>
    <t>NZ</t>
  </si>
  <si>
    <t>Nowa Zelandia</t>
  </si>
  <si>
    <t>OM</t>
  </si>
  <si>
    <t>Oman</t>
  </si>
  <si>
    <t>OMR</t>
  </si>
  <si>
    <t>PA</t>
  </si>
  <si>
    <t>Panama</t>
  </si>
  <si>
    <t>PAB</t>
  </si>
  <si>
    <t>PE</t>
  </si>
  <si>
    <t>PH</t>
  </si>
  <si>
    <t>Filipiny</t>
  </si>
  <si>
    <t>PK</t>
  </si>
  <si>
    <t>PL</t>
  </si>
  <si>
    <t>Polska</t>
  </si>
  <si>
    <t>PR</t>
  </si>
  <si>
    <t>Portoryko</t>
  </si>
  <si>
    <t>PT</t>
  </si>
  <si>
    <t>Portugalia</t>
  </si>
  <si>
    <t>PY</t>
  </si>
  <si>
    <t>Paragwaj</t>
  </si>
  <si>
    <t>PYG</t>
  </si>
  <si>
    <t>QA</t>
  </si>
  <si>
    <t>Katar</t>
  </si>
  <si>
    <t>QAR</t>
  </si>
  <si>
    <t>RO</t>
  </si>
  <si>
    <t>Rumunia</t>
  </si>
  <si>
    <t>RS</t>
  </si>
  <si>
    <t>RU</t>
  </si>
  <si>
    <t>Rosja</t>
  </si>
  <si>
    <t>RUB</t>
  </si>
  <si>
    <t>RW</t>
  </si>
  <si>
    <t>Rwanda</t>
  </si>
  <si>
    <t>RWF</t>
  </si>
  <si>
    <t>SA</t>
  </si>
  <si>
    <t>Arabia Saudyjska</t>
  </si>
  <si>
    <t>SE</t>
  </si>
  <si>
    <t>Szwecja</t>
  </si>
  <si>
    <t>SG</t>
  </si>
  <si>
    <t>Singapur</t>
  </si>
  <si>
    <t>SI</t>
  </si>
  <si>
    <t>Słowenia</t>
  </si>
  <si>
    <t>SK</t>
  </si>
  <si>
    <t>Słowacja</t>
  </si>
  <si>
    <t>SL</t>
  </si>
  <si>
    <t>Sierra Leone</t>
  </si>
  <si>
    <t>SLL</t>
  </si>
  <si>
    <t>SV</t>
  </si>
  <si>
    <t>Salwador</t>
  </si>
  <si>
    <t>TH</t>
  </si>
  <si>
    <t>Tajlandia</t>
  </si>
  <si>
    <t>TJ</t>
  </si>
  <si>
    <t>Tadżykistan</t>
  </si>
  <si>
    <t>TJS</t>
  </si>
  <si>
    <t>TM</t>
  </si>
  <si>
    <t>Turkmenistan</t>
  </si>
  <si>
    <t>TMT</t>
  </si>
  <si>
    <t>TN</t>
  </si>
  <si>
    <t>Tunezja</t>
  </si>
  <si>
    <t>TND</t>
  </si>
  <si>
    <t>TR</t>
  </si>
  <si>
    <t>Turcja</t>
  </si>
  <si>
    <t>TW</t>
  </si>
  <si>
    <t>Tajwan</t>
  </si>
  <si>
    <t>TWD</t>
  </si>
  <si>
    <t>TZ</t>
  </si>
  <si>
    <t>Tanzania</t>
  </si>
  <si>
    <t>TZS</t>
  </si>
  <si>
    <t>UA</t>
  </si>
  <si>
    <t>Ukraina</t>
  </si>
  <si>
    <t>UG</t>
  </si>
  <si>
    <t>Uganda</t>
  </si>
  <si>
    <t>UGX</t>
  </si>
  <si>
    <t>UK</t>
  </si>
  <si>
    <t>Wielka Brytania</t>
  </si>
  <si>
    <t>US</t>
  </si>
  <si>
    <t>USA</t>
  </si>
  <si>
    <t>UY</t>
  </si>
  <si>
    <t>Urugwaj</t>
  </si>
  <si>
    <t>UYU</t>
  </si>
  <si>
    <t>UZ</t>
  </si>
  <si>
    <t>Uzbekistan</t>
  </si>
  <si>
    <t>UZS</t>
  </si>
  <si>
    <t>VE</t>
  </si>
  <si>
    <t>Wenezuela</t>
  </si>
  <si>
    <t>VES</t>
  </si>
  <si>
    <t>VN</t>
  </si>
  <si>
    <t>Wietnam</t>
  </si>
  <si>
    <t>ZA</t>
  </si>
  <si>
    <t>RPA</t>
  </si>
  <si>
    <t>ZM</t>
  </si>
  <si>
    <t>Zambia</t>
  </si>
  <si>
    <t>ZMW</t>
  </si>
  <si>
    <t>ZW</t>
  </si>
  <si>
    <t>Zimbabwe</t>
  </si>
  <si>
    <t>Kod Kraju</t>
  </si>
  <si>
    <t>Kraj</t>
  </si>
  <si>
    <t>Basic</t>
  </si>
  <si>
    <t>Standard</t>
  </si>
  <si>
    <t>Premium</t>
  </si>
  <si>
    <t>Waluta w Netflixie</t>
  </si>
  <si>
    <t>Waluta w kraju</t>
  </si>
  <si>
    <t>Cena - Standard</t>
  </si>
  <si>
    <t>Waluta</t>
  </si>
  <si>
    <t>Cena</t>
  </si>
  <si>
    <t>ad</t>
  </si>
  <si>
    <t>Andorra</t>
  </si>
  <si>
    <t>7.99</t>
  </si>
  <si>
    <t>12.99</t>
  </si>
  <si>
    <t>17.99</t>
  </si>
  <si>
    <t>United Arab Emirates</t>
  </si>
  <si>
    <t>29 AED</t>
  </si>
  <si>
    <t>39.00</t>
  </si>
  <si>
    <t>56 AED</t>
  </si>
  <si>
    <t>af</t>
  </si>
  <si>
    <t>Afghanistan</t>
  </si>
  <si>
    <t>$7.99</t>
  </si>
  <si>
    <t>9.99</t>
  </si>
  <si>
    <t>$11.99</t>
  </si>
  <si>
    <t>AFN</t>
  </si>
  <si>
    <t>7.99€</t>
  </si>
  <si>
    <t>11.99€</t>
  </si>
  <si>
    <t>am</t>
  </si>
  <si>
    <t>429</t>
  </si>
  <si>
    <t>799</t>
  </si>
  <si>
    <t>1199</t>
  </si>
  <si>
    <t>10.99</t>
  </si>
  <si>
    <t>16.99</t>
  </si>
  <si>
    <t>22.99</t>
  </si>
  <si>
    <t>az</t>
  </si>
  <si>
    <t>Azerbaijan</t>
  </si>
  <si>
    <t>be</t>
  </si>
  <si>
    <t>Belgium</t>
  </si>
  <si>
    <t>8.99</t>
  </si>
  <si>
    <t>13.49</t>
  </si>
  <si>
    <t>bo</t>
  </si>
  <si>
    <t>Bolivia</t>
  </si>
  <si>
    <t>$13.99</t>
  </si>
  <si>
    <t>R$25,90</t>
  </si>
  <si>
    <t>39.90</t>
  </si>
  <si>
    <t>R$55,90</t>
  </si>
  <si>
    <t>by</t>
  </si>
  <si>
    <t>Belarus</t>
  </si>
  <si>
    <t>9.99 CAD</t>
  </si>
  <si>
    <t>16.49</t>
  </si>
  <si>
    <t>20.99 CAD</t>
  </si>
  <si>
    <t>11,90 CHF</t>
  </si>
  <si>
    <t>18.90</t>
  </si>
  <si>
    <t>24,90 CHF</t>
  </si>
  <si>
    <t>ci</t>
  </si>
  <si>
    <t>Côte d'Ivoire</t>
  </si>
  <si>
    <t>$5,940 CLP</t>
  </si>
  <si>
    <t>8,320.00</t>
  </si>
  <si>
    <t>$10,700 CLP</t>
  </si>
  <si>
    <t>cm</t>
  </si>
  <si>
    <t>Cameroon</t>
  </si>
  <si>
    <t>cn</t>
  </si>
  <si>
    <t>China</t>
  </si>
  <si>
    <t>Netflix niedostępny w Chinach</t>
  </si>
  <si>
    <t>16,900 COP</t>
  </si>
  <si>
    <t>26,900.00</t>
  </si>
  <si>
    <t>38,900 COP</t>
  </si>
  <si>
    <t>cr</t>
  </si>
  <si>
    <t>Costa Rica</t>
  </si>
  <si>
    <t>$8.99</t>
  </si>
  <si>
    <t>$15.99</t>
  </si>
  <si>
    <t>cu</t>
  </si>
  <si>
    <t>Cuba</t>
  </si>
  <si>
    <t>cy</t>
  </si>
  <si>
    <t>Cyprus</t>
  </si>
  <si>
    <t>13.99€</t>
  </si>
  <si>
    <t>199,00 Kč</t>
  </si>
  <si>
    <t>259.00</t>
  </si>
  <si>
    <t>319,00 Kč</t>
  </si>
  <si>
    <t>17.99€</t>
  </si>
  <si>
    <t>dk</t>
  </si>
  <si>
    <t>Denmark</t>
  </si>
  <si>
    <t>79kr</t>
  </si>
  <si>
    <t>114.00</t>
  </si>
  <si>
    <t>149kr</t>
  </si>
  <si>
    <t>do</t>
  </si>
  <si>
    <t>Dominican Republic</t>
  </si>
  <si>
    <t>dz</t>
  </si>
  <si>
    <t>Algeria</t>
  </si>
  <si>
    <t>ec</t>
  </si>
  <si>
    <t>Ecuador</t>
  </si>
  <si>
    <t>120 EGP</t>
  </si>
  <si>
    <t>165.00</t>
  </si>
  <si>
    <t>200 EGP</t>
  </si>
  <si>
    <t>11.99</t>
  </si>
  <si>
    <t>15.99€</t>
  </si>
  <si>
    <t>8.99€</t>
  </si>
  <si>
    <t>ge</t>
  </si>
  <si>
    <t>Georgia</t>
  </si>
  <si>
    <t>9.39€</t>
  </si>
  <si>
    <t>11.79</t>
  </si>
  <si>
    <t>gh</t>
  </si>
  <si>
    <t>gt</t>
  </si>
  <si>
    <t>Guatemala</t>
  </si>
  <si>
    <t>63 HKD</t>
  </si>
  <si>
    <t>78.00</t>
  </si>
  <si>
    <t>93 HKD</t>
  </si>
  <si>
    <t>hn</t>
  </si>
  <si>
    <t>2490 Ft</t>
  </si>
  <si>
    <t>3,490.00</t>
  </si>
  <si>
    <t>4490 Ft</t>
  </si>
  <si>
    <t>120,000 IDR</t>
  </si>
  <si>
    <t>153,000.00</t>
  </si>
  <si>
    <t>186,000 IDR</t>
  </si>
  <si>
    <t>14.99</t>
  </si>
  <si>
    <t>20.99€</t>
  </si>
  <si>
    <t>32.90 ILS</t>
  </si>
  <si>
    <t>54.90</t>
  </si>
  <si>
    <t>69.90 ILS</t>
  </si>
  <si>
    <t>₹199 INR</t>
  </si>
  <si>
    <t>499.00</t>
  </si>
  <si>
    <t>₹649 INR</t>
  </si>
  <si>
    <t>iq</t>
  </si>
  <si>
    <t>Iraq</t>
  </si>
  <si>
    <t>ir</t>
  </si>
  <si>
    <t>is</t>
  </si>
  <si>
    <t>Iceland</t>
  </si>
  <si>
    <t>jm</t>
  </si>
  <si>
    <t>Jamaica</t>
  </si>
  <si>
    <t>jo</t>
  </si>
  <si>
    <t>Jordan</t>
  </si>
  <si>
    <t>990 JPY</t>
  </si>
  <si>
    <t>1,490.00</t>
  </si>
  <si>
    <t>1,980 JPY</t>
  </si>
  <si>
    <t>ke</t>
  </si>
  <si>
    <t>Kenya</t>
  </si>
  <si>
    <t>700 KES</t>
  </si>
  <si>
    <t>1,100.00</t>
  </si>
  <si>
    <t>1,450 KES</t>
  </si>
  <si>
    <t>kg</t>
  </si>
  <si>
    <t>Kyrgyzstan</t>
  </si>
  <si>
    <t>kh</t>
  </si>
  <si>
    <t>Cambodia</t>
  </si>
  <si>
    <t>9,500 KRW</t>
  </si>
  <si>
    <t>13,500.00</t>
  </si>
  <si>
    <t>17,000 KRW</t>
  </si>
  <si>
    <t>kw</t>
  </si>
  <si>
    <t>Kuwait</t>
  </si>
  <si>
    <t>$14.99</t>
  </si>
  <si>
    <t>la</t>
  </si>
  <si>
    <t>Lao People's Democratic Republic</t>
  </si>
  <si>
    <t>lk</t>
  </si>
  <si>
    <t>lu</t>
  </si>
  <si>
    <t>Luxembourg</t>
  </si>
  <si>
    <t>mg</t>
  </si>
  <si>
    <t>Madagascar</t>
  </si>
  <si>
    <t>mt</t>
  </si>
  <si>
    <t>mu</t>
  </si>
  <si>
    <t>$139 MXN</t>
  </si>
  <si>
    <t>219.00</t>
  </si>
  <si>
    <t>$299 MXN</t>
  </si>
  <si>
    <t>35 MYR</t>
  </si>
  <si>
    <t>45.00</t>
  </si>
  <si>
    <t>55 MYR</t>
  </si>
  <si>
    <t>mz</t>
  </si>
  <si>
    <t>Mozambique</t>
  </si>
  <si>
    <t>MZN</t>
  </si>
  <si>
    <t>na</t>
  </si>
  <si>
    <t>2,900 NGN</t>
  </si>
  <si>
    <t>3,600.00</t>
  </si>
  <si>
    <t>4,400 NGN</t>
  </si>
  <si>
    <t>ni</t>
  </si>
  <si>
    <t>Nicaragua</t>
  </si>
  <si>
    <t>89kr</t>
  </si>
  <si>
    <t>109.00</t>
  </si>
  <si>
    <t>159kr</t>
  </si>
  <si>
    <t>NZ$12.99</t>
  </si>
  <si>
    <t>18.49</t>
  </si>
  <si>
    <t>NZ$24.99</t>
  </si>
  <si>
    <t>om</t>
  </si>
  <si>
    <t>$8.39</t>
  </si>
  <si>
    <t>10.49</t>
  </si>
  <si>
    <t>$15.79</t>
  </si>
  <si>
    <t>pa</t>
  </si>
  <si>
    <t>PEN 24.90</t>
  </si>
  <si>
    <t>34.90</t>
  </si>
  <si>
    <t>PEN 44.90</t>
  </si>
  <si>
    <t>369 PHP</t>
  </si>
  <si>
    <t>459.00</t>
  </si>
  <si>
    <t>549 PHP</t>
  </si>
  <si>
    <t>Rs 450</t>
  </si>
  <si>
    <t>800.00</t>
  </si>
  <si>
    <t>Rs 1,100</t>
  </si>
  <si>
    <t>29 PLN</t>
  </si>
  <si>
    <t>43.00</t>
  </si>
  <si>
    <t>60 PLN</t>
  </si>
  <si>
    <t>pr</t>
  </si>
  <si>
    <t>Puerto Rico</t>
  </si>
  <si>
    <t>$9.99</t>
  </si>
  <si>
    <t>15.49</t>
  </si>
  <si>
    <t>$19.99</t>
  </si>
  <si>
    <t>py</t>
  </si>
  <si>
    <t>Paraguay</t>
  </si>
  <si>
    <t>$8.29</t>
  </si>
  <si>
    <t>11.49</t>
  </si>
  <si>
    <t>$14.69</t>
  </si>
  <si>
    <t>qa</t>
  </si>
  <si>
    <t>Qatar</t>
  </si>
  <si>
    <t>ru</t>
  </si>
  <si>
    <t>Russia</t>
  </si>
  <si>
    <t>Netflix niedostępny w Rosji</t>
  </si>
  <si>
    <t>rw</t>
  </si>
  <si>
    <t>32 SAR</t>
  </si>
  <si>
    <t>61 SAR</t>
  </si>
  <si>
    <t>99 kr</t>
  </si>
  <si>
    <t>129.00</t>
  </si>
  <si>
    <t>179 kr</t>
  </si>
  <si>
    <t>12.98 SGD</t>
  </si>
  <si>
    <t>17.48</t>
  </si>
  <si>
    <t>21.98 SGD</t>
  </si>
  <si>
    <t>si</t>
  </si>
  <si>
    <t>Slovenia</t>
  </si>
  <si>
    <t>sv</t>
  </si>
  <si>
    <t>El Salvador</t>
  </si>
  <si>
    <t>279 THB</t>
  </si>
  <si>
    <t>349.00</t>
  </si>
  <si>
    <t>419 THB</t>
  </si>
  <si>
    <t>tj</t>
  </si>
  <si>
    <t>Tajikistan</t>
  </si>
  <si>
    <t>tn</t>
  </si>
  <si>
    <t>Tunisia</t>
  </si>
  <si>
    <t>37.99 TRY</t>
  </si>
  <si>
    <t>69.99</t>
  </si>
  <si>
    <t>77.99 TRY</t>
  </si>
  <si>
    <t>tw</t>
  </si>
  <si>
    <t>Taiwan</t>
  </si>
  <si>
    <t>270 TWD</t>
  </si>
  <si>
    <t>330.00</t>
  </si>
  <si>
    <t>390 TWD</t>
  </si>
  <si>
    <t>tz</t>
  </si>
  <si>
    <t>4.99€</t>
  </si>
  <si>
    <t>7.49</t>
  </si>
  <si>
    <t>9.99€</t>
  </si>
  <si>
    <t>ug</t>
  </si>
  <si>
    <t>£ 6.99</t>
  </si>
  <si>
    <t>£ 15.99</t>
  </si>
  <si>
    <t>uy</t>
  </si>
  <si>
    <t>Uruguay</t>
  </si>
  <si>
    <t>uz</t>
  </si>
  <si>
    <t>ve</t>
  </si>
  <si>
    <t>Venezuela</t>
  </si>
  <si>
    <t>180,000 VND</t>
  </si>
  <si>
    <t>220,000.00</t>
  </si>
  <si>
    <t>260,000 VND</t>
  </si>
  <si>
    <t>99 ZAR</t>
  </si>
  <si>
    <t>159.00</t>
  </si>
  <si>
    <t>199 ZAR</t>
  </si>
  <si>
    <t>zm</t>
  </si>
  <si>
    <t>$9.29</t>
  </si>
  <si>
    <t>11.59</t>
  </si>
  <si>
    <t>1 = waluta się zgadza
0 = waluta się różni</t>
  </si>
  <si>
    <t>Netflix_test</t>
  </si>
  <si>
    <t>*799 ARS*</t>
  </si>
  <si>
    <t>*AU$16.99*</t>
  </si>
  <si>
    <t>*9.99€*</t>
  </si>
  <si>
    <t>*R$39,90*</t>
  </si>
  <si>
    <t>*$8,320 CLP*</t>
  </si>
  <si>
    <t>*26,900 COP*</t>
  </si>
  <si>
    <t>*259,00 Kč*</t>
  </si>
  <si>
    <t>*$219 MXN*</t>
  </si>
  <si>
    <t>*43 PLN*</t>
  </si>
  <si>
    <t>*17.48 SGD*</t>
  </si>
  <si>
    <t>*12.99€*</t>
  </si>
  <si>
    <t>*69.99 TRY*</t>
  </si>
  <si>
    <t>*7.49€*</t>
  </si>
  <si>
    <t>*99 ZAR*</t>
  </si>
  <si>
    <t>*35 MYR*</t>
  </si>
  <si>
    <t>*2,900 NGN*</t>
  </si>
  <si>
    <t>*369 PHP*</t>
  </si>
  <si>
    <t>*Rs 450*</t>
  </si>
  <si>
    <t>*180,000 VND*</t>
  </si>
  <si>
    <t>*₹199 INR*</t>
  </si>
  <si>
    <t>*10.99€*</t>
  </si>
  <si>
    <t>*279 THB*</t>
  </si>
  <si>
    <t>*11.99€*</t>
  </si>
  <si>
    <t>*78 HKD*</t>
  </si>
  <si>
    <t>gb</t>
  </si>
  <si>
    <t>*$15.49*</t>
  </si>
  <si>
    <t>*PEN 34.90*</t>
  </si>
  <si>
    <t>*39 AED*</t>
  </si>
  <si>
    <t>*3490 Ft*</t>
  </si>
  <si>
    <t>*43 SAR*</t>
  </si>
  <si>
    <t>*18,90 CHF*</t>
  </si>
  <si>
    <t>*129 kr*</t>
  </si>
  <si>
    <t>*14.99€*</t>
  </si>
  <si>
    <t>*NZ$18.49*</t>
  </si>
  <si>
    <t>*16.49 CAD*</t>
  </si>
  <si>
    <t>*165 EGP*</t>
  </si>
  <si>
    <t>*54.90 ILS*</t>
  </si>
  <si>
    <t>*1,490 JPY*</t>
  </si>
  <si>
    <t>*13,500 KRW*</t>
  </si>
  <si>
    <t>*109kr*</t>
  </si>
  <si>
    <t>*13.49€*</t>
  </si>
  <si>
    <t>Waluta na Disney +</t>
  </si>
  <si>
    <t>Waluta w HBO Max</t>
  </si>
  <si>
    <t>529.00</t>
  </si>
  <si>
    <t>28.00</t>
  </si>
  <si>
    <t>6,900.00</t>
  </si>
  <si>
    <t>19,900.00</t>
  </si>
  <si>
    <t>2,075.00</t>
  </si>
  <si>
    <t>79.00</t>
  </si>
  <si>
    <t>59.99</t>
  </si>
  <si>
    <t>149.00</t>
  </si>
  <si>
    <t>89.00</t>
  </si>
  <si>
    <t>29.99</t>
  </si>
  <si>
    <t xml:space="preserve">        89.00</t>
  </si>
  <si>
    <t>Individual</t>
  </si>
  <si>
    <t>Duo</t>
  </si>
  <si>
    <t>Family</t>
  </si>
  <si>
    <t>Waluta w Spotify</t>
  </si>
  <si>
    <t>Czy waluta się zgadza</t>
  </si>
  <si>
    <t>Cena Individual</t>
  </si>
  <si>
    <t>-</t>
  </si>
  <si>
    <t>479,00</t>
  </si>
  <si>
    <t>Waluta na Apple</t>
  </si>
  <si>
    <t>brak danych???</t>
  </si>
  <si>
    <t>5.84</t>
  </si>
  <si>
    <t>8.13</t>
  </si>
  <si>
    <t>4.87</t>
  </si>
  <si>
    <t>3.18</t>
  </si>
  <si>
    <t>4.60</t>
  </si>
  <si>
    <t>2.92</t>
  </si>
  <si>
    <t>7.57</t>
  </si>
  <si>
    <t>3.71</t>
  </si>
  <si>
    <t>1.44</t>
  </si>
  <si>
    <t>3.85</t>
  </si>
  <si>
    <t>5.98</t>
  </si>
  <si>
    <t>6.05</t>
  </si>
  <si>
    <t>13.30</t>
  </si>
  <si>
    <t>2.57</t>
  </si>
  <si>
    <t>6.99</t>
  </si>
  <si>
    <t>7.20</t>
  </si>
  <si>
    <t>1.23</t>
  </si>
  <si>
    <t>3.21</t>
  </si>
  <si>
    <t>5.75</t>
  </si>
  <si>
    <t>14,99</t>
  </si>
  <si>
    <t>7.30</t>
  </si>
  <si>
    <t>2.03</t>
  </si>
  <si>
    <t>3.26</t>
  </si>
  <si>
    <t>5.48</t>
  </si>
  <si>
    <t>4.99</t>
  </si>
  <si>
    <t>9.21</t>
  </si>
  <si>
    <t>2.07</t>
  </si>
  <si>
    <t>12.00</t>
  </si>
  <si>
    <t>2.27</t>
  </si>
  <si>
    <t>4.23</t>
  </si>
  <si>
    <t>4.82</t>
  </si>
  <si>
    <t>4.06</t>
  </si>
  <si>
    <t>2.66</t>
  </si>
  <si>
    <t>5.19</t>
  </si>
  <si>
    <t>7.06</t>
  </si>
  <si>
    <t>5.99</t>
  </si>
  <si>
    <t>3.54</t>
  </si>
  <si>
    <t>6.64</t>
  </si>
  <si>
    <t>9.52</t>
  </si>
  <si>
    <t>13.23</t>
  </si>
  <si>
    <t>3.49</t>
  </si>
  <si>
    <t>1.09</t>
  </si>
  <si>
    <t>5.32</t>
  </si>
  <si>
    <t>11.93</t>
  </si>
  <si>
    <t>9.74</t>
  </si>
  <si>
    <t>2.46</t>
  </si>
  <si>
    <t>3.58</t>
  </si>
  <si>
    <t>Amazon Prime</t>
  </si>
  <si>
    <t>Waluta na Prime</t>
  </si>
  <si>
    <t>Cena Prime Video</t>
  </si>
  <si>
    <t>319.00</t>
  </si>
  <si>
    <t>14.90</t>
  </si>
  <si>
    <t>4,990.00</t>
  </si>
  <si>
    <t>29.00</t>
  </si>
  <si>
    <t>899.00</t>
  </si>
  <si>
    <t>179.00</t>
  </si>
  <si>
    <t>59,000.00</t>
  </si>
  <si>
    <t>500.00</t>
  </si>
  <si>
    <t>25.00</t>
  </si>
  <si>
    <t>99.00</t>
  </si>
  <si>
    <t>2.99</t>
  </si>
  <si>
    <t>8.00</t>
  </si>
  <si>
    <t>65.00</t>
  </si>
  <si>
    <t>3.99</t>
  </si>
  <si>
    <t>13.99</t>
  </si>
  <si>
    <t>16.00</t>
  </si>
  <si>
    <t>59.00</t>
  </si>
  <si>
    <t>169.00</t>
  </si>
  <si>
    <t>7.90</t>
  </si>
  <si>
    <t xml:space="preserve"> 7.99</t>
  </si>
  <si>
    <t>VEF</t>
  </si>
  <si>
    <t>120,000.00</t>
  </si>
  <si>
    <t>Country Code</t>
  </si>
  <si>
    <t xml:space="preserve">Cena </t>
  </si>
  <si>
    <t>Waluta w Scribd</t>
  </si>
  <si>
    <t>Waluta na stronie</t>
  </si>
  <si>
    <t>Waluta na YT</t>
  </si>
  <si>
    <t>119.00</t>
  </si>
  <si>
    <t>20.90</t>
  </si>
  <si>
    <t>4,100.00</t>
  </si>
  <si>
    <t>3,790.00</t>
  </si>
  <si>
    <t>71.99</t>
  </si>
  <si>
    <t>8.49</t>
  </si>
  <si>
    <t>68.00</t>
  </si>
  <si>
    <t>1790.00</t>
  </si>
  <si>
    <t>1,180.00</t>
  </si>
  <si>
    <t>17.90</t>
  </si>
  <si>
    <t>69.00</t>
  </si>
  <si>
    <t>23.99</t>
  </si>
  <si>
    <t>26.00</t>
  </si>
  <si>
    <t>11.98</t>
  </si>
  <si>
    <t>7.19</t>
  </si>
  <si>
    <t>15.90</t>
  </si>
  <si>
    <t xml:space="preserve"> Kod Kraju</t>
  </si>
  <si>
    <t>Waluta na Numbeo</t>
  </si>
  <si>
    <t>1085.71</t>
  </si>
  <si>
    <t>3,529.83</t>
  </si>
  <si>
    <t>2,265.22</t>
  </si>
  <si>
    <t>37.75</t>
  </si>
  <si>
    <t>22.65</t>
  </si>
  <si>
    <t>23,934.78</t>
  </si>
  <si>
    <t>67.65</t>
  </si>
  <si>
    <t>34.55</t>
  </si>
  <si>
    <t>52.30</t>
  </si>
  <si>
    <t>81.21</t>
  </si>
  <si>
    <t>27.20</t>
  </si>
  <si>
    <t>281.74</t>
  </si>
  <si>
    <t>41.76</t>
  </si>
  <si>
    <t>111.70</t>
  </si>
  <si>
    <t>47.49</t>
  </si>
  <si>
    <t>53.09</t>
  </si>
  <si>
    <t>18,000.00</t>
  </si>
  <si>
    <t>52.88</t>
  </si>
  <si>
    <t>28,792.68</t>
  </si>
  <si>
    <t>289.97</t>
  </si>
  <si>
    <t>78,395.23</t>
  </si>
  <si>
    <t>28,525.81</t>
  </si>
  <si>
    <t>brak danych</t>
  </si>
  <si>
    <t>288.00</t>
  </si>
  <si>
    <t>15.50</t>
  </si>
  <si>
    <t>55.46</t>
  </si>
  <si>
    <t>900.57</t>
  </si>
  <si>
    <t>247.93</t>
  </si>
  <si>
    <t>1,542.82</t>
  </si>
  <si>
    <t>34.24</t>
  </si>
  <si>
    <t>460.82</t>
  </si>
  <si>
    <t>26.95</t>
  </si>
  <si>
    <t>44.71</t>
  </si>
  <si>
    <t>38.53</t>
  </si>
  <si>
    <t>33.27</t>
  </si>
  <si>
    <t>117.78</t>
  </si>
  <si>
    <t>30.57</t>
  </si>
  <si>
    <t>35.53</t>
  </si>
  <si>
    <t>361.96</t>
  </si>
  <si>
    <t>38.43</t>
  </si>
  <si>
    <t>515.13</t>
  </si>
  <si>
    <t>13,006.99</t>
  </si>
  <si>
    <t>8,777.38</t>
  </si>
  <si>
    <t>1,603.58</t>
  </si>
  <si>
    <t>415,964.09</t>
  </si>
  <si>
    <t>24.63</t>
  </si>
  <si>
    <t>32.98</t>
  </si>
  <si>
    <t>44.65</t>
  </si>
  <si>
    <t>239.19</t>
  </si>
  <si>
    <t>46.21</t>
  </si>
  <si>
    <t>6,101.07</t>
  </si>
  <si>
    <t>8,482.40</t>
  </si>
  <si>
    <t>35.83</t>
  </si>
  <si>
    <t>15,823.92</t>
  </si>
  <si>
    <t>5,027.03</t>
  </si>
  <si>
    <t>33.80</t>
  </si>
  <si>
    <t>3,053.85</t>
  </si>
  <si>
    <t>34.22</t>
  </si>
  <si>
    <t>34.64</t>
  </si>
  <si>
    <t>30.49</t>
  </si>
  <si>
    <t>46.92</t>
  </si>
  <si>
    <t>193,333.33</t>
  </si>
  <si>
    <t>137.25</t>
  </si>
  <si>
    <t>58.48</t>
  </si>
  <si>
    <t>1,432.00</t>
  </si>
  <si>
    <t>587.13</t>
  </si>
  <si>
    <t>381.39</t>
  </si>
  <si>
    <t>31.45</t>
  </si>
  <si>
    <t>3,340.00</t>
  </si>
  <si>
    <t>550.00</t>
  </si>
  <si>
    <t>33.68</t>
  </si>
  <si>
    <t>60.71</t>
  </si>
  <si>
    <t>27.66</t>
  </si>
  <si>
    <t>13,000.00</t>
  </si>
  <si>
    <t>1,152.56</t>
  </si>
  <si>
    <t>413.63</t>
  </si>
  <si>
    <t>22.89</t>
  </si>
  <si>
    <t>3,178.68</t>
  </si>
  <si>
    <t>36.61</t>
  </si>
  <si>
    <t>173,316.78</t>
  </si>
  <si>
    <t>125.35</t>
  </si>
  <si>
    <t>1,896.07</t>
  </si>
  <si>
    <t>118.84</t>
  </si>
  <si>
    <t>33.28</t>
  </si>
  <si>
    <t>36.92</t>
  </si>
  <si>
    <t>413.06</t>
  </si>
  <si>
    <t>175.14</t>
  </si>
  <si>
    <t>2,471.69</t>
  </si>
  <si>
    <t>37,000.00</t>
  </si>
  <si>
    <t>355.84</t>
  </si>
  <si>
    <t>2,901.92</t>
  </si>
  <si>
    <t>116.50</t>
  </si>
  <si>
    <t>30.21</t>
  </si>
  <si>
    <t>39.69</t>
  </si>
  <si>
    <t>566.63</t>
  </si>
  <si>
    <t>60,187.66</t>
  </si>
  <si>
    <t>37.43</t>
  </si>
  <si>
    <t>3,284.95</t>
  </si>
  <si>
    <t>355.34</t>
  </si>
  <si>
    <t>77.41</t>
  </si>
  <si>
    <t>1,168.32</t>
  </si>
  <si>
    <t>433.33</t>
  </si>
  <si>
    <t>100,357.14</t>
  </si>
  <si>
    <t>1,565.45</t>
  </si>
  <si>
    <t>69.60</t>
  </si>
  <si>
    <t>316.72</t>
  </si>
  <si>
    <t>200,000.00</t>
  </si>
  <si>
    <t>675.54</t>
  </si>
  <si>
    <t>269.41</t>
  </si>
  <si>
    <t>30.70</t>
  </si>
  <si>
    <t>37.35</t>
  </si>
  <si>
    <t>1,866.95</t>
  </si>
  <si>
    <t>35.91</t>
  </si>
  <si>
    <t>38.36</t>
  </si>
  <si>
    <t>536,055.04</t>
  </si>
  <si>
    <t>19.11</t>
  </si>
  <si>
    <t>Platforma</t>
  </si>
  <si>
    <t>Liczba subów</t>
  </si>
  <si>
    <t>Source</t>
  </si>
  <si>
    <t>Z kiedy dane?</t>
  </si>
  <si>
    <t>220.67 MLN</t>
  </si>
  <si>
    <t>https://ir.netflix.net/investor-news-and-events/investor-events/event-details/2022/Netflix-Second-Quarter-2022-Earnings-Interview/default.aspx</t>
  </si>
  <si>
    <t>Q2 2022</t>
  </si>
  <si>
    <t>najnowsze dane Q3 będą 18 października o 1pm PT</t>
  </si>
  <si>
    <t>Disney+</t>
  </si>
  <si>
    <t>93.6 MLN (152.1 MLN Total)</t>
  </si>
  <si>
    <t>https://thewaltdisneycompany.com/app/uploads/2022/08/q3-fy22-earnings.pdf</t>
  </si>
  <si>
    <t>Q3 2022</t>
  </si>
  <si>
    <t>HBO Max</t>
  </si>
  <si>
    <t>76.8 MLN</t>
  </si>
  <si>
    <t>https://investors.att.com/~/media/Files/A/ATT-IR-V2/financial-reports/quarterly-earnings/2022/1Q22/ATT_1Q22_Earnings_Release.pdf</t>
  </si>
  <si>
    <t>Q1 2022</t>
  </si>
  <si>
    <t>188 MLN</t>
  </si>
  <si>
    <t>https://s29.q4cdn.com/175625835/files/doc_presentation/Q2-2022-Shareholder-Deck-FINAL.pdf</t>
  </si>
  <si>
    <t>Apple Music</t>
  </si>
  <si>
    <t>78 MLN</t>
  </si>
  <si>
    <t>https://www.statista.com/statistics/604959/number-of-apple-music-subscribers/</t>
  </si>
  <si>
    <t>200 MLN</t>
  </si>
  <si>
    <t>https://variety.com/2021/digital/news/amazon-prime-200-million-jeff-bezos-1234952188/</t>
  </si>
  <si>
    <t>YT Premium</t>
  </si>
  <si>
    <t>50 MLN</t>
  </si>
  <si>
    <t>https://blog.youtube/news-and-events/50-million/</t>
  </si>
  <si>
    <t>1.8 MLN</t>
  </si>
  <si>
    <t>https://www.scribd.com/about</t>
  </si>
  <si>
    <t>25 MLN</t>
  </si>
  <si>
    <t>https://news.xbox.com/en-us/2022/01/18/welcoming-activision-blizzard-to-microsoft-gaming/</t>
  </si>
  <si>
    <t>Playstation ichniejszy pass</t>
  </si>
  <si>
    <t>47.4 MLN</t>
  </si>
  <si>
    <t>https://www.sony.com/en/SonyInfo/IR/library/presen/er/pdf/21q4_supplement.pdf</t>
  </si>
  <si>
    <t>Q4 2021</t>
  </si>
  <si>
    <t>Na pierwszy rzut oka ceny za PlayStation Plus są bardzo zbliżone do tych z Xboxa</t>
  </si>
  <si>
    <t>https://blog.playstation.com/2022/05/23/your-guide-to-the-all-new-playstation-plus/</t>
  </si>
  <si>
    <t>Origin</t>
  </si>
  <si>
    <t>13 MLN</t>
  </si>
  <si>
    <t>https://www.thegamer.com/ea-play-nearing-13-million-players/</t>
  </si>
  <si>
    <t>Dane stare, ale tak ogólnie to EA Play jest dołączony do Xbox Game Passa</t>
  </si>
  <si>
    <t>Country name</t>
  </si>
  <si>
    <t>Source: Picodi.com, prices as of October 2022. Converted using average exchange rates from the 1st half of October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</si>
</sst>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%"/>
    <numFmt numFmtId="165" formatCode="&quot;$&quot;#,##0.00"/>
    <numFmt numFmtId="166" formatCode="[$€]#,##0.00"/>
    <numFmt numFmtId="167" formatCode="#,##0.0"/>
    <numFmt numFmtId="168" formatCode="dd\.mm"/>
    <numFmt numFmtId="169" formatCode="dd\.mm\.yyyy"/>
    <numFmt numFmtId="170" formatCode="dd/mm/yyyy"/>
    <numFmt numFmtId="171" formatCode="&quot;€&quot;#,##0.00"/>
    <numFmt numFmtId="172" formatCode="mm/yyyy"/>
    <numFmt numFmtId="173" formatCode="yyyy\-mm\-dd"/>
    <numFmt numFmtId="174" formatCode="&quot;€&quot;#,##0"/>
    <numFmt numFmtId="175" formatCode="#,##0.00&quot;€&quot;"/>
    <numFmt numFmtId="176" formatCode="mmmm\ yyyy"/>
  </numFmts>
  <fonts count="29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rgb="FFFFFFFF"/>
      <name val="Arial"/>
      <scheme val="minor"/>
    </font>
    <font>
      <b/>
      <sz val="10"/>
      <color theme="1"/>
      <name val="Arial"/>
      <scheme val="minor"/>
    </font>
    <font>
      <sz val="10"/>
      <name val="Arial"/>
    </font>
    <font>
      <b/>
      <sz val="18"/>
      <color theme="1"/>
      <name val="Arial"/>
    </font>
    <font>
      <b/>
      <sz val="10"/>
      <color theme="1"/>
      <name val="Arial"/>
    </font>
    <font>
      <b/>
      <sz val="10"/>
      <color theme="1"/>
      <name val="Arial"/>
    </font>
    <font>
      <i/>
      <sz val="10"/>
      <color theme="1"/>
      <name val="Arial"/>
    </font>
    <font>
      <sz val="10"/>
      <color theme="1"/>
      <name val="Arial"/>
    </font>
    <font>
      <sz val="11"/>
      <color rgb="FF000000"/>
      <name val="Inconsolata"/>
    </font>
    <font>
      <u/>
      <sz val="10"/>
      <color rgb="FF0000FF"/>
      <name val="Arial"/>
    </font>
    <font>
      <u/>
      <sz val="10"/>
      <color rgb="FF0000FF"/>
      <name val="Arial"/>
    </font>
    <font>
      <sz val="10"/>
      <color theme="1"/>
      <name val="Arial"/>
      <scheme val="minor"/>
    </font>
    <font>
      <sz val="10"/>
      <color rgb="FF221F1F"/>
      <name val="Arial"/>
      <scheme val="minor"/>
    </font>
    <font>
      <u/>
      <sz val="10"/>
      <color rgb="FF0000FF"/>
      <name val="Arial"/>
    </font>
    <font>
      <u/>
      <sz val="10"/>
      <color rgb="FF0000FF"/>
      <name val="Arial"/>
    </font>
    <font>
      <sz val="10"/>
      <color rgb="FF221F1F"/>
      <name val="Arial"/>
    </font>
    <font>
      <sz val="10"/>
      <color rgb="FF202122"/>
      <name val="Arial"/>
      <scheme val="minor"/>
    </font>
    <font>
      <sz val="11"/>
      <color rgb="FF000000"/>
      <name val="Arial"/>
      <scheme val="minor"/>
    </font>
    <font>
      <strike/>
      <sz val="10"/>
      <color theme="1"/>
      <name val="Arial"/>
      <scheme val="minor"/>
    </font>
    <font>
      <sz val="10"/>
      <color rgb="FF00000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b/>
      <sz val="12"/>
      <color theme="1"/>
      <name val="Arial"/>
    </font>
    <font>
      <sz val="10"/>
      <color theme="1"/>
      <name val="Arial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CC0000"/>
        <bgColor rgb="FFCC0000"/>
      </patternFill>
    </fill>
    <fill>
      <patternFill patternType="solid">
        <fgColor rgb="FFF1C232"/>
        <bgColor rgb="FFF1C232"/>
      </patternFill>
    </fill>
    <fill>
      <patternFill patternType="solid">
        <fgColor rgb="FF1ED760"/>
        <bgColor rgb="FF1ED760"/>
      </patternFill>
    </fill>
    <fill>
      <patternFill patternType="solid">
        <fgColor rgb="FF76A5AF"/>
        <bgColor rgb="FF76A5AF"/>
      </patternFill>
    </fill>
    <fill>
      <patternFill patternType="solid">
        <fgColor rgb="FF6AA84F"/>
        <bgColor rgb="FF6AA84F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rgb="FFB7B7B7"/>
        <bgColor rgb="FFB7B7B7"/>
      </patternFill>
    </fill>
    <fill>
      <patternFill patternType="solid">
        <fgColor rgb="FFB6D7A8"/>
        <bgColor rgb="FFB6D7A8"/>
      </patternFill>
    </fill>
    <fill>
      <patternFill patternType="solid">
        <fgColor rgb="FFF9CB9C"/>
        <bgColor rgb="FFF9CB9C"/>
      </patternFill>
    </fill>
    <fill>
      <patternFill patternType="solid">
        <fgColor rgb="FFEA9999"/>
        <bgColor rgb="FFEA9999"/>
      </patternFill>
    </fill>
    <fill>
      <patternFill patternType="solid">
        <fgColor rgb="FFF4CCCC"/>
        <bgColor rgb="FFF4CCCC"/>
      </patternFill>
    </fill>
    <fill>
      <patternFill patternType="solid">
        <fgColor rgb="FFFFE599"/>
        <bgColor rgb="FFFFE599"/>
      </patternFill>
    </fill>
    <fill>
      <patternFill patternType="solid">
        <fgColor rgb="FF6FA8DC"/>
        <bgColor rgb="FF6FA8DC"/>
      </patternFill>
    </fill>
    <fill>
      <patternFill patternType="solid">
        <fgColor rgb="FFD9EAD3"/>
        <bgColor rgb="FFD9EAD3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21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4" fontId="1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 wrapText="1"/>
    </xf>
    <xf numFmtId="4" fontId="1" fillId="0" borderId="2" xfId="0" applyNumberFormat="1" applyFont="1" applyBorder="1" applyAlignment="1">
      <alignment wrapText="1"/>
    </xf>
    <xf numFmtId="4" fontId="1" fillId="7" borderId="2" xfId="0" applyNumberFormat="1" applyFont="1" applyFill="1" applyBorder="1"/>
    <xf numFmtId="164" fontId="1" fillId="0" borderId="3" xfId="0" applyNumberFormat="1" applyFont="1" applyBorder="1"/>
    <xf numFmtId="0" fontId="1" fillId="0" borderId="2" xfId="0" applyFont="1" applyBorder="1" applyAlignment="1">
      <alignment horizontal="center"/>
    </xf>
    <xf numFmtId="165" fontId="1" fillId="0" borderId="0" xfId="0" applyNumberFormat="1" applyFont="1"/>
    <xf numFmtId="165" fontId="1" fillId="7" borderId="1" xfId="0" applyNumberFormat="1" applyFont="1" applyFill="1" applyBorder="1"/>
    <xf numFmtId="166" fontId="1" fillId="0" borderId="0" xfId="0" applyNumberFormat="1" applyFont="1"/>
    <xf numFmtId="166" fontId="1" fillId="7" borderId="1" xfId="0" applyNumberFormat="1" applyFont="1" applyFill="1" applyBorder="1"/>
    <xf numFmtId="0" fontId="1" fillId="0" borderId="0" xfId="0" applyFont="1" applyAlignment="1">
      <alignment horizontal="center"/>
    </xf>
    <xf numFmtId="0" fontId="1" fillId="8" borderId="0" xfId="0" applyFont="1" applyFill="1" applyAlignment="1">
      <alignment horizontal="center"/>
    </xf>
    <xf numFmtId="0" fontId="1" fillId="8" borderId="0" xfId="0" applyFont="1" applyFill="1"/>
    <xf numFmtId="4" fontId="1" fillId="8" borderId="0" xfId="0" applyNumberFormat="1" applyFont="1" applyFill="1" applyAlignment="1">
      <alignment horizontal="right" wrapText="1"/>
    </xf>
    <xf numFmtId="166" fontId="1" fillId="8" borderId="0" xfId="0" applyNumberFormat="1" applyFont="1" applyFill="1"/>
    <xf numFmtId="0" fontId="5" fillId="0" borderId="0" xfId="0" applyFont="1" applyAlignment="1"/>
    <xf numFmtId="0" fontId="6" fillId="0" borderId="0" xfId="0" applyFont="1" applyAlignment="1">
      <alignment wrapText="1"/>
    </xf>
    <xf numFmtId="0" fontId="5" fillId="9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11" xfId="0" applyFont="1" applyBorder="1" applyAlignment="1"/>
    <xf numFmtId="0" fontId="9" fillId="0" borderId="8" xfId="0" applyFont="1" applyBorder="1" applyAlignment="1"/>
    <xf numFmtId="10" fontId="9" fillId="0" borderId="8" xfId="0" applyNumberFormat="1" applyFont="1" applyBorder="1" applyAlignment="1"/>
    <xf numFmtId="10" fontId="9" fillId="0" borderId="0" xfId="0" applyNumberFormat="1" applyFont="1" applyAlignment="1"/>
    <xf numFmtId="10" fontId="9" fillId="0" borderId="12" xfId="0" applyNumberFormat="1" applyFont="1" applyBorder="1" applyAlignment="1"/>
    <xf numFmtId="10" fontId="9" fillId="0" borderId="13" xfId="0" applyNumberFormat="1" applyFont="1" applyBorder="1" applyAlignment="1"/>
    <xf numFmtId="10" fontId="9" fillId="0" borderId="14" xfId="0" applyNumberFormat="1" applyFont="1" applyBorder="1" applyAlignment="1"/>
    <xf numFmtId="166" fontId="9" fillId="0" borderId="0" xfId="0" applyNumberFormat="1" applyFont="1" applyAlignment="1">
      <alignment horizontal="center"/>
    </xf>
    <xf numFmtId="166" fontId="9" fillId="0" borderId="0" xfId="0" applyNumberFormat="1" applyFont="1" applyAlignment="1"/>
    <xf numFmtId="167" fontId="9" fillId="0" borderId="0" xfId="0" applyNumberFormat="1" applyFont="1" applyAlignment="1">
      <alignment horizontal="center"/>
    </xf>
    <xf numFmtId="10" fontId="9" fillId="0" borderId="3" xfId="0" applyNumberFormat="1" applyFont="1" applyBorder="1" applyAlignment="1"/>
    <xf numFmtId="10" fontId="9" fillId="0" borderId="2" xfId="0" applyNumberFormat="1" applyFont="1" applyBorder="1" applyAlignment="1"/>
    <xf numFmtId="4" fontId="9" fillId="0" borderId="0" xfId="0" applyNumberFormat="1" applyFont="1" applyAlignment="1"/>
    <xf numFmtId="10" fontId="9" fillId="0" borderId="7" xfId="0" applyNumberFormat="1" applyFont="1" applyBorder="1" applyAlignment="1"/>
    <xf numFmtId="10" fontId="9" fillId="0" borderId="9" xfId="0" applyNumberFormat="1" applyFont="1" applyBorder="1" applyAlignment="1"/>
    <xf numFmtId="0" fontId="10" fillId="8" borderId="0" xfId="0" applyFont="1" applyFill="1"/>
    <xf numFmtId="0" fontId="10" fillId="8" borderId="0" xfId="0" applyFont="1" applyFill="1" applyAlignment="1"/>
    <xf numFmtId="0" fontId="1" fillId="0" borderId="0" xfId="0" applyFont="1" applyAlignment="1"/>
    <xf numFmtId="4" fontId="1" fillId="0" borderId="0" xfId="0" applyNumberFormat="1" applyFont="1" applyAlignment="1"/>
    <xf numFmtId="0" fontId="11" fillId="0" borderId="0" xfId="0" applyFont="1"/>
    <xf numFmtId="168" fontId="1" fillId="0" borderId="0" xfId="0" applyNumberFormat="1" applyFont="1"/>
    <xf numFmtId="2" fontId="1" fillId="0" borderId="0" xfId="0" applyNumberFormat="1" applyFont="1"/>
    <xf numFmtId="10" fontId="1" fillId="0" borderId="0" xfId="0" applyNumberFormat="1" applyFont="1"/>
    <xf numFmtId="169" fontId="1" fillId="0" borderId="0" xfId="0" applyNumberFormat="1" applyFont="1"/>
    <xf numFmtId="1" fontId="1" fillId="0" borderId="0" xfId="0" applyNumberFormat="1" applyFont="1"/>
    <xf numFmtId="170" fontId="1" fillId="0" borderId="0" xfId="0" applyNumberFormat="1" applyFont="1"/>
    <xf numFmtId="171" fontId="12" fillId="0" borderId="0" xfId="0" applyNumberFormat="1" applyFont="1"/>
    <xf numFmtId="172" fontId="1" fillId="0" borderId="0" xfId="0" applyNumberFormat="1" applyFont="1"/>
    <xf numFmtId="173" fontId="1" fillId="0" borderId="0" xfId="0" applyNumberFormat="1" applyFont="1"/>
    <xf numFmtId="174" fontId="1" fillId="0" borderId="0" xfId="0" applyNumberFormat="1" applyFont="1"/>
    <xf numFmtId="175" fontId="1" fillId="0" borderId="0" xfId="0" applyNumberFormat="1" applyFont="1"/>
    <xf numFmtId="0" fontId="1" fillId="8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 wrapText="1"/>
    </xf>
    <xf numFmtId="0" fontId="1" fillId="11" borderId="0" xfId="0" applyFont="1" applyFill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9" fontId="1" fillId="8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8" borderId="0" xfId="0" applyNumberFormat="1" applyFont="1" applyFill="1" applyAlignment="1">
      <alignment horizontal="center"/>
    </xf>
    <xf numFmtId="0" fontId="9" fillId="8" borderId="0" xfId="0" applyFont="1" applyFill="1" applyAlignment="1"/>
    <xf numFmtId="0" fontId="9" fillId="8" borderId="0" xfId="0" applyFont="1" applyFill="1" applyAlignment="1"/>
    <xf numFmtId="49" fontId="13" fillId="8" borderId="0" xfId="0" applyNumberFormat="1" applyFont="1" applyFill="1" applyAlignment="1">
      <alignment horizontal="right" vertical="center"/>
    </xf>
    <xf numFmtId="0" fontId="9" fillId="8" borderId="0" xfId="0" applyFont="1" applyFill="1" applyAlignment="1">
      <alignment horizontal="left"/>
    </xf>
    <xf numFmtId="0" fontId="1" fillId="11" borderId="0" xfId="0" applyFont="1" applyFill="1"/>
    <xf numFmtId="4" fontId="1" fillId="0" borderId="0" xfId="0" applyNumberFormat="1" applyFont="1" applyAlignment="1">
      <alignment horizontal="right"/>
    </xf>
    <xf numFmtId="0" fontId="9" fillId="12" borderId="0" xfId="0" applyFont="1" applyFill="1" applyAlignment="1">
      <alignment horizontal="left"/>
    </xf>
    <xf numFmtId="4" fontId="9" fillId="8" borderId="0" xfId="0" applyNumberFormat="1" applyFont="1" applyFill="1" applyAlignment="1">
      <alignment horizontal="right"/>
    </xf>
    <xf numFmtId="49" fontId="1" fillId="8" borderId="0" xfId="0" applyNumberFormat="1" applyFont="1" applyFill="1" applyAlignment="1">
      <alignment horizontal="left"/>
    </xf>
    <xf numFmtId="4" fontId="1" fillId="8" borderId="0" xfId="0" applyNumberFormat="1" applyFont="1" applyFill="1" applyAlignment="1">
      <alignment horizontal="right"/>
    </xf>
    <xf numFmtId="49" fontId="14" fillId="8" borderId="0" xfId="0" applyNumberFormat="1" applyFont="1" applyFill="1" applyAlignment="1">
      <alignment horizontal="right"/>
    </xf>
    <xf numFmtId="0" fontId="9" fillId="8" borderId="0" xfId="0" applyFont="1" applyFill="1" applyAlignment="1"/>
    <xf numFmtId="0" fontId="9" fillId="13" borderId="0" xfId="0" applyFont="1" applyFill="1" applyAlignment="1">
      <alignment horizontal="left"/>
    </xf>
    <xf numFmtId="0" fontId="9" fillId="14" borderId="0" xfId="0" applyFont="1" applyFill="1" applyAlignment="1"/>
    <xf numFmtId="0" fontId="9" fillId="14" borderId="0" xfId="0" applyFont="1" applyFill="1" applyAlignment="1"/>
    <xf numFmtId="49" fontId="13" fillId="14" borderId="0" xfId="0" applyNumberFormat="1" applyFont="1" applyFill="1" applyAlignment="1">
      <alignment horizontal="center" vertical="center"/>
    </xf>
    <xf numFmtId="0" fontId="9" fillId="14" borderId="0" xfId="0" applyFont="1" applyFill="1" applyAlignment="1">
      <alignment horizontal="left"/>
    </xf>
    <xf numFmtId="0" fontId="1" fillId="14" borderId="0" xfId="0" applyFont="1" applyFill="1"/>
    <xf numFmtId="4" fontId="1" fillId="14" borderId="0" xfId="0" applyNumberFormat="1" applyFont="1" applyFill="1" applyAlignment="1">
      <alignment horizontal="right"/>
    </xf>
    <xf numFmtId="4" fontId="13" fillId="14" borderId="0" xfId="0" applyNumberFormat="1" applyFont="1" applyFill="1" applyAlignment="1">
      <alignment horizontal="center" vertical="center"/>
    </xf>
    <xf numFmtId="4" fontId="9" fillId="14" borderId="0" xfId="0" applyNumberFormat="1" applyFont="1" applyFill="1" applyAlignment="1">
      <alignment horizontal="right"/>
    </xf>
    <xf numFmtId="49" fontId="1" fillId="14" borderId="0" xfId="0" applyNumberFormat="1" applyFont="1" applyFill="1" applyAlignment="1">
      <alignment horizontal="left"/>
    </xf>
    <xf numFmtId="49" fontId="14" fillId="8" borderId="0" xfId="0" applyNumberFormat="1" applyFont="1" applyFill="1" applyAlignment="1">
      <alignment horizontal="right" vertical="top"/>
    </xf>
    <xf numFmtId="0" fontId="9" fillId="8" borderId="0" xfId="0" applyFont="1" applyFill="1" applyAlignment="1">
      <alignment horizontal="left"/>
    </xf>
    <xf numFmtId="0" fontId="9" fillId="13" borderId="0" xfId="0" applyFont="1" applyFill="1" applyAlignment="1">
      <alignment horizontal="left"/>
    </xf>
    <xf numFmtId="4" fontId="1" fillId="0" borderId="0" xfId="0" applyNumberFormat="1" applyFont="1" applyAlignment="1">
      <alignment horizontal="center" vertical="center" wrapText="1"/>
    </xf>
    <xf numFmtId="0" fontId="9" fillId="8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9" fillId="8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/>
    <xf numFmtId="0" fontId="9" fillId="12" borderId="0" xfId="0" applyFont="1" applyFill="1" applyAlignment="1">
      <alignment horizontal="right"/>
    </xf>
    <xf numFmtId="0" fontId="1" fillId="15" borderId="0" xfId="0" applyFont="1" applyFill="1" applyAlignment="1"/>
    <xf numFmtId="0" fontId="16" fillId="15" borderId="0" xfId="0" applyFont="1" applyFill="1" applyAlignment="1"/>
    <xf numFmtId="0" fontId="1" fillId="15" borderId="0" xfId="0" applyFont="1" applyFill="1"/>
    <xf numFmtId="0" fontId="9" fillId="0" borderId="0" xfId="0" applyFont="1" applyAlignment="1">
      <alignment horizontal="right"/>
    </xf>
    <xf numFmtId="0" fontId="1" fillId="11" borderId="0" xfId="0" applyFont="1" applyFill="1" applyAlignment="1">
      <alignment horizontal="center" vertical="center" wrapText="1"/>
    </xf>
    <xf numFmtId="0" fontId="1" fillId="10" borderId="0" xfId="0" applyFont="1" applyFill="1" applyAlignment="1">
      <alignment horizontal="center" vertical="center" wrapText="1"/>
    </xf>
    <xf numFmtId="0" fontId="9" fillId="14" borderId="0" xfId="0" applyFont="1" applyFill="1" applyAlignment="1"/>
    <xf numFmtId="49" fontId="13" fillId="14" borderId="0" xfId="0" applyNumberFormat="1" applyFont="1" applyFill="1" applyAlignment="1">
      <alignment horizontal="right"/>
    </xf>
    <xf numFmtId="4" fontId="13" fillId="14" borderId="0" xfId="0" applyNumberFormat="1" applyFont="1" applyFill="1" applyAlignment="1">
      <alignment horizontal="right"/>
    </xf>
    <xf numFmtId="4" fontId="1" fillId="14" borderId="0" xfId="0" applyNumberFormat="1" applyFont="1" applyFill="1"/>
    <xf numFmtId="0" fontId="1" fillId="14" borderId="0" xfId="0" applyFont="1" applyFill="1" applyAlignment="1">
      <alignment horizontal="left"/>
    </xf>
    <xf numFmtId="4" fontId="17" fillId="8" borderId="0" xfId="0" applyNumberFormat="1" applyFont="1" applyFill="1" applyAlignment="1">
      <alignment horizontal="right"/>
    </xf>
    <xf numFmtId="4" fontId="13" fillId="8" borderId="0" xfId="0" applyNumberFormat="1" applyFont="1" applyFill="1" applyAlignment="1">
      <alignment horizontal="right"/>
    </xf>
    <xf numFmtId="4" fontId="1" fillId="8" borderId="0" xfId="0" applyNumberFormat="1" applyFont="1" applyFill="1"/>
    <xf numFmtId="0" fontId="1" fillId="8" borderId="0" xfId="0" applyFont="1" applyFill="1" applyAlignment="1">
      <alignment horizontal="left"/>
    </xf>
    <xf numFmtId="4" fontId="17" fillId="14" borderId="0" xfId="0" applyNumberFormat="1" applyFont="1" applyFill="1" applyAlignment="1">
      <alignment horizontal="right"/>
    </xf>
    <xf numFmtId="4" fontId="13" fillId="14" borderId="0" xfId="0" applyNumberFormat="1" applyFont="1" applyFill="1" applyAlignment="1">
      <alignment horizontal="right"/>
    </xf>
    <xf numFmtId="0" fontId="1" fillId="11" borderId="0" xfId="0" applyFont="1" applyFill="1" applyAlignment="1">
      <alignment horizontal="center" vertical="center" wrapText="1"/>
    </xf>
    <xf numFmtId="49" fontId="1" fillId="8" borderId="0" xfId="0" applyNumberFormat="1" applyFont="1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49" fontId="1" fillId="14" borderId="0" xfId="0" applyNumberFormat="1" applyFont="1" applyFill="1" applyAlignment="1">
      <alignment horizontal="right"/>
    </xf>
    <xf numFmtId="49" fontId="9" fillId="14" borderId="0" xfId="0" applyNumberFormat="1" applyFont="1" applyFill="1" applyAlignment="1"/>
    <xf numFmtId="49" fontId="9" fillId="14" borderId="0" xfId="0" applyNumberFormat="1" applyFont="1" applyFill="1" applyAlignment="1"/>
    <xf numFmtId="4" fontId="1" fillId="14" borderId="0" xfId="0" applyNumberFormat="1" applyFont="1" applyFill="1" applyAlignment="1">
      <alignment horizontal="right"/>
    </xf>
    <xf numFmtId="49" fontId="9" fillId="14" borderId="0" xfId="0" applyNumberFormat="1" applyFont="1" applyFill="1" applyAlignment="1">
      <alignment horizontal="left"/>
    </xf>
    <xf numFmtId="49" fontId="9" fillId="14" borderId="0" xfId="0" applyNumberFormat="1" applyFont="1" applyFill="1" applyAlignment="1"/>
    <xf numFmtId="49" fontId="1" fillId="0" borderId="0" xfId="0" applyNumberFormat="1" applyFont="1" applyAlignment="1">
      <alignment horizontal="right"/>
    </xf>
    <xf numFmtId="49" fontId="9" fillId="8" borderId="0" xfId="0" applyNumberFormat="1" applyFont="1" applyFill="1" applyAlignment="1"/>
    <xf numFmtId="49" fontId="9" fillId="8" borderId="0" xfId="0" applyNumberFormat="1" applyFont="1" applyFill="1" applyAlignment="1"/>
    <xf numFmtId="4" fontId="1" fillId="8" borderId="0" xfId="0" applyNumberFormat="1" applyFont="1" applyFill="1" applyAlignment="1">
      <alignment horizontal="right"/>
    </xf>
    <xf numFmtId="49" fontId="9" fillId="12" borderId="0" xfId="0" applyNumberFormat="1" applyFont="1" applyFill="1" applyAlignment="1">
      <alignment horizontal="left"/>
    </xf>
    <xf numFmtId="0" fontId="9" fillId="16" borderId="0" xfId="0" applyFont="1" applyFill="1" applyAlignment="1"/>
    <xf numFmtId="0" fontId="9" fillId="16" borderId="0" xfId="0" applyFont="1" applyFill="1" applyAlignment="1"/>
    <xf numFmtId="49" fontId="1" fillId="16" borderId="0" xfId="0" applyNumberFormat="1" applyFont="1" applyFill="1" applyAlignment="1">
      <alignment horizontal="right"/>
    </xf>
    <xf numFmtId="0" fontId="9" fillId="16" borderId="0" xfId="0" applyFont="1" applyFill="1" applyAlignment="1">
      <alignment horizontal="left"/>
    </xf>
    <xf numFmtId="49" fontId="9" fillId="16" borderId="0" xfId="0" applyNumberFormat="1" applyFont="1" applyFill="1" applyAlignment="1"/>
    <xf numFmtId="49" fontId="9" fillId="16" borderId="0" xfId="0" applyNumberFormat="1" applyFont="1" applyFill="1" applyAlignment="1"/>
    <xf numFmtId="4" fontId="1" fillId="16" borderId="0" xfId="0" applyNumberFormat="1" applyFont="1" applyFill="1" applyAlignment="1">
      <alignment horizontal="right"/>
    </xf>
    <xf numFmtId="49" fontId="9" fillId="16" borderId="0" xfId="0" applyNumberFormat="1" applyFont="1" applyFill="1" applyAlignment="1">
      <alignment horizontal="left"/>
    </xf>
    <xf numFmtId="49" fontId="1" fillId="16" borderId="0" xfId="0" applyNumberFormat="1" applyFont="1" applyFill="1" applyAlignment="1">
      <alignment horizontal="left"/>
    </xf>
    <xf numFmtId="49" fontId="9" fillId="13" borderId="0" xfId="0" applyNumberFormat="1" applyFont="1" applyFill="1" applyAlignment="1">
      <alignment horizontal="left"/>
    </xf>
    <xf numFmtId="49" fontId="1" fillId="8" borderId="0" xfId="0" applyNumberFormat="1" applyFont="1" applyFill="1" applyAlignment="1">
      <alignment horizontal="right"/>
    </xf>
    <xf numFmtId="4" fontId="10" fillId="16" borderId="0" xfId="0" applyNumberFormat="1" applyFont="1" applyFill="1"/>
    <xf numFmtId="49" fontId="18" fillId="8" borderId="0" xfId="0" applyNumberFormat="1" applyFont="1" applyFill="1" applyAlignment="1">
      <alignment horizontal="right"/>
    </xf>
    <xf numFmtId="0" fontId="7" fillId="8" borderId="0" xfId="0" applyFont="1" applyFill="1" applyAlignment="1">
      <alignment horizontal="left"/>
    </xf>
    <xf numFmtId="0" fontId="7" fillId="8" borderId="0" xfId="0" applyFont="1" applyFill="1" applyAlignment="1">
      <alignment horizontal="left"/>
    </xf>
    <xf numFmtId="49" fontId="7" fillId="12" borderId="0" xfId="0" applyNumberFormat="1" applyFont="1" applyFill="1" applyAlignment="1">
      <alignment horizontal="left"/>
    </xf>
    <xf numFmtId="0" fontId="9" fillId="16" borderId="0" xfId="0" applyFont="1" applyFill="1" applyAlignment="1">
      <alignment horizontal="left"/>
    </xf>
    <xf numFmtId="49" fontId="9" fillId="16" borderId="0" xfId="0" applyNumberFormat="1" applyFont="1" applyFill="1" applyAlignment="1">
      <alignment horizontal="left"/>
    </xf>
    <xf numFmtId="4" fontId="1" fillId="8" borderId="0" xfId="0" applyNumberFormat="1" applyFont="1" applyFill="1" applyAlignment="1">
      <alignment horizontal="center" vertical="center" wrapText="1"/>
    </xf>
    <xf numFmtId="4" fontId="9" fillId="14" borderId="0" xfId="0" applyNumberFormat="1" applyFont="1" applyFill="1" applyAlignment="1">
      <alignment horizontal="right"/>
    </xf>
    <xf numFmtId="49" fontId="1" fillId="14" borderId="0" xfId="0" applyNumberFormat="1" applyFont="1" applyFill="1"/>
    <xf numFmtId="4" fontId="9" fillId="16" borderId="0" xfId="0" applyNumberFormat="1" applyFont="1" applyFill="1" applyAlignment="1">
      <alignment horizontal="right"/>
    </xf>
    <xf numFmtId="49" fontId="1" fillId="16" borderId="0" xfId="0" applyNumberFormat="1" applyFont="1" applyFill="1"/>
    <xf numFmtId="4" fontId="9" fillId="8" borderId="0" xfId="0" applyNumberFormat="1" applyFont="1" applyFill="1" applyAlignment="1">
      <alignment horizontal="right"/>
    </xf>
    <xf numFmtId="49" fontId="1" fillId="0" borderId="0" xfId="0" applyNumberFormat="1" applyFont="1" applyAlignment="1"/>
    <xf numFmtId="49" fontId="9" fillId="0" borderId="0" xfId="0" applyNumberFormat="1" applyFont="1" applyAlignment="1">
      <alignment horizontal="right"/>
    </xf>
    <xf numFmtId="49" fontId="9" fillId="13" borderId="0" xfId="0" applyNumberFormat="1" applyFont="1" applyFill="1" applyAlignment="1">
      <alignment horizontal="left"/>
    </xf>
    <xf numFmtId="49" fontId="9" fillId="8" borderId="0" xfId="0" applyNumberFormat="1" applyFont="1" applyFill="1" applyAlignment="1">
      <alignment horizontal="lef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49" fontId="9" fillId="8" borderId="0" xfId="0" applyNumberFormat="1" applyFont="1" applyFill="1" applyAlignment="1">
      <alignment horizontal="left"/>
    </xf>
    <xf numFmtId="49" fontId="1" fillId="12" borderId="0" xfId="0" applyNumberFormat="1" applyFont="1" applyFill="1" applyAlignment="1">
      <alignment horizontal="right"/>
    </xf>
    <xf numFmtId="3" fontId="1" fillId="0" borderId="0" xfId="0" applyNumberFormat="1" applyFont="1" applyAlignment="1"/>
    <xf numFmtId="49" fontId="1" fillId="14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/>
    <xf numFmtId="0" fontId="1" fillId="0" borderId="0" xfId="0" applyFont="1" applyAlignment="1">
      <alignment horizontal="right"/>
    </xf>
    <xf numFmtId="0" fontId="19" fillId="8" borderId="0" xfId="0" applyFont="1" applyFill="1"/>
    <xf numFmtId="4" fontId="1" fillId="8" borderId="0" xfId="0" applyNumberFormat="1" applyFont="1" applyFill="1" applyAlignment="1"/>
    <xf numFmtId="0" fontId="1" fillId="8" borderId="0" xfId="0" applyFont="1" applyFill="1" applyAlignment="1"/>
    <xf numFmtId="4" fontId="1" fillId="12" borderId="0" xfId="0" applyNumberFormat="1" applyFont="1" applyFill="1" applyAlignment="1"/>
    <xf numFmtId="4" fontId="1" fillId="17" borderId="0" xfId="0" applyNumberFormat="1" applyFont="1" applyFill="1" applyAlignment="1"/>
    <xf numFmtId="0" fontId="20" fillId="15" borderId="0" xfId="0" applyFont="1" applyFill="1" applyAlignment="1"/>
    <xf numFmtId="0" fontId="20" fillId="15" borderId="0" xfId="0" applyFont="1" applyFill="1"/>
    <xf numFmtId="4" fontId="20" fillId="15" borderId="0" xfId="0" applyNumberFormat="1" applyFont="1" applyFill="1"/>
    <xf numFmtId="4" fontId="1" fillId="13" borderId="0" xfId="0" applyNumberFormat="1" applyFont="1" applyFill="1" applyAlignment="1"/>
    <xf numFmtId="0" fontId="9" fillId="12" borderId="0" xfId="0" applyFont="1" applyFill="1" applyAlignment="1"/>
    <xf numFmtId="49" fontId="1" fillId="0" borderId="0" xfId="0" applyNumberFormat="1" applyFont="1" applyAlignment="1">
      <alignment horizontal="center" vertical="center" wrapText="1"/>
    </xf>
    <xf numFmtId="49" fontId="21" fillId="8" borderId="0" xfId="0" applyNumberFormat="1" applyFont="1" applyFill="1" applyAlignment="1">
      <alignment horizontal="right"/>
    </xf>
    <xf numFmtId="4" fontId="21" fillId="8" borderId="0" xfId="0" applyNumberFormat="1" applyFont="1" applyFill="1" applyAlignment="1">
      <alignment horizontal="right"/>
    </xf>
    <xf numFmtId="0" fontId="1" fillId="0" borderId="0" xfId="0" applyFont="1" applyAlignment="1">
      <alignment horizontal="left"/>
    </xf>
    <xf numFmtId="49" fontId="1" fillId="16" borderId="0" xfId="0" applyNumberFormat="1" applyFont="1" applyFill="1" applyAlignment="1">
      <alignment horizontal="center"/>
    </xf>
    <xf numFmtId="0" fontId="3" fillId="18" borderId="0" xfId="0" applyFont="1" applyFill="1" applyAlignment="1"/>
    <xf numFmtId="0" fontId="1" fillId="18" borderId="0" xfId="0" applyFont="1" applyFill="1" applyAlignment="1"/>
    <xf numFmtId="0" fontId="22" fillId="18" borderId="0" xfId="0" applyFont="1" applyFill="1" applyAlignment="1"/>
    <xf numFmtId="0" fontId="1" fillId="18" borderId="0" xfId="0" applyFont="1" applyFill="1" applyAlignment="1">
      <alignment horizontal="center"/>
    </xf>
    <xf numFmtId="0" fontId="23" fillId="0" borderId="0" xfId="0" applyFont="1" applyAlignment="1"/>
    <xf numFmtId="0" fontId="24" fillId="18" borderId="0" xfId="0" applyFont="1" applyFill="1" applyAlignment="1"/>
    <xf numFmtId="0" fontId="25" fillId="0" borderId="0" xfId="0" applyFont="1" applyAlignment="1"/>
    <xf numFmtId="0" fontId="1" fillId="9" borderId="0" xfId="0" applyFont="1" applyFill="1" applyAlignment="1"/>
    <xf numFmtId="0" fontId="26" fillId="0" borderId="0" xfId="0" applyFont="1" applyAlignment="1"/>
    <xf numFmtId="176" fontId="1" fillId="0" borderId="0" xfId="0" applyNumberFormat="1" applyFont="1" applyAlignment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166" fontId="1" fillId="0" borderId="9" xfId="0" applyNumberFormat="1" applyFont="1" applyBorder="1"/>
    <xf numFmtId="0" fontId="4" fillId="0" borderId="9" xfId="0" applyFont="1" applyBorder="1"/>
    <xf numFmtId="0" fontId="4" fillId="0" borderId="8" xfId="0" applyFont="1" applyBorder="1"/>
    <xf numFmtId="0" fontId="9" fillId="0" borderId="7" xfId="0" applyFont="1" applyBorder="1" applyAlignment="1"/>
    <xf numFmtId="166" fontId="9" fillId="0" borderId="0" xfId="0" applyNumberFormat="1" applyFont="1" applyAlignment="1"/>
    <xf numFmtId="166" fontId="9" fillId="0" borderId="9" xfId="0" applyNumberFormat="1" applyFont="1" applyBorder="1" applyAlignment="1"/>
    <xf numFmtId="0" fontId="5" fillId="0" borderId="4" xfId="0" applyFont="1" applyBorder="1" applyAlignment="1">
      <alignment wrapText="1"/>
    </xf>
    <xf numFmtId="0" fontId="4" fillId="0" borderId="5" xfId="0" applyFont="1" applyBorder="1"/>
    <xf numFmtId="0" fontId="4" fillId="0" borderId="6" xfId="0" applyFont="1" applyBorder="1"/>
    <xf numFmtId="0" fontId="5" fillId="0" borderId="4" xfId="0" applyFont="1" applyBorder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166" fontId="9" fillId="0" borderId="13" xfId="0" applyNumberFormat="1" applyFont="1" applyBorder="1" applyAlignment="1"/>
    <xf numFmtId="0" fontId="4" fillId="0" borderId="13" xfId="0" applyFont="1" applyBorder="1"/>
    <xf numFmtId="49" fontId="13" fillId="14" borderId="0" xfId="0" applyNumberFormat="1" applyFont="1" applyFill="1" applyAlignment="1">
      <alignment horizontal="center" vertical="center"/>
    </xf>
    <xf numFmtId="4" fontId="1" fillId="16" borderId="0" xfId="0" applyNumberFormat="1" applyFont="1" applyFill="1" applyAlignment="1">
      <alignment horizontal="center"/>
    </xf>
    <xf numFmtId="49" fontId="1" fillId="16" borderId="0" xfId="0" applyNumberFormat="1" applyFont="1" applyFill="1" applyAlignment="1">
      <alignment horizontal="center"/>
    </xf>
    <xf numFmtId="0" fontId="28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cribd.com/about" TargetMode="External"/><Relationship Id="rId13" Type="http://schemas.openxmlformats.org/officeDocument/2006/relationships/vmlDrawing" Target="../drawings/vmlDrawing11.vml"/><Relationship Id="rId3" Type="http://schemas.openxmlformats.org/officeDocument/2006/relationships/hyperlink" Target="https://investors.att.com/~/media/Files/A/ATT-IR-V2/financial-reports/quarterly-earnings/2022/1Q22/ATT_1Q22_Earnings_Release.pdf" TargetMode="External"/><Relationship Id="rId7" Type="http://schemas.openxmlformats.org/officeDocument/2006/relationships/hyperlink" Target="https://blog.youtube/news-and-events/50-million/" TargetMode="External"/><Relationship Id="rId12" Type="http://schemas.openxmlformats.org/officeDocument/2006/relationships/hyperlink" Target="https://www.thegamer.com/ea-play-nearing-13-million-players/" TargetMode="External"/><Relationship Id="rId2" Type="http://schemas.openxmlformats.org/officeDocument/2006/relationships/hyperlink" Target="https://thewaltdisneycompany.com/app/uploads/2022/08/q3-fy22-earnings.pdf" TargetMode="External"/><Relationship Id="rId1" Type="http://schemas.openxmlformats.org/officeDocument/2006/relationships/hyperlink" Target="https://ir.netflix.net/investor-news-and-events/investor-events/event-details/2022/Netflix-Second-Quarter-2022-Earnings-Interview/default.aspx" TargetMode="External"/><Relationship Id="rId6" Type="http://schemas.openxmlformats.org/officeDocument/2006/relationships/hyperlink" Target="https://variety.com/2021/digital/news/amazon-prime-200-million-jeff-bezos-1234952188/" TargetMode="External"/><Relationship Id="rId11" Type="http://schemas.openxmlformats.org/officeDocument/2006/relationships/hyperlink" Target="https://blog.playstation.com/2022/05/23/your-guide-to-the-all-new-playstation-plus/" TargetMode="External"/><Relationship Id="rId5" Type="http://schemas.openxmlformats.org/officeDocument/2006/relationships/hyperlink" Target="https://www.statista.com/statistics/604959/number-of-apple-music-subscribers/" TargetMode="External"/><Relationship Id="rId10" Type="http://schemas.openxmlformats.org/officeDocument/2006/relationships/hyperlink" Target="https://www.sony.com/en/SonyInfo/IR/library/presen/er/pdf/21q4_supplement.pdf" TargetMode="External"/><Relationship Id="rId4" Type="http://schemas.openxmlformats.org/officeDocument/2006/relationships/hyperlink" Target="https://s29.q4cdn.com/175625835/files/doc_presentation/Q2-2022-Shareholder-Deck-FINAL.pdf" TargetMode="External"/><Relationship Id="rId9" Type="http://schemas.openxmlformats.org/officeDocument/2006/relationships/hyperlink" Target="https://news.xbox.com/en-us/2022/01/18/welcoming-activision-blizzard-to-microsoft-gaming/" TargetMode="External"/><Relationship Id="rId14" Type="http://schemas.openxmlformats.org/officeDocument/2006/relationships/comments" Target="../comments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data.stat.gov.lv/pxweb/lv/OSP_PUB/START__EMP__DS__DSV/DSV010c/table/tableViewLayout1/" TargetMode="External"/><Relationship Id="rId21" Type="http://schemas.openxmlformats.org/officeDocument/2006/relationships/hyperlink" Target="https://www.nsi.bg/en/content/44/basic-page/release-calendar" TargetMode="External"/><Relationship Id="rId42" Type="http://schemas.openxmlformats.org/officeDocument/2006/relationships/hyperlink" Target="https://www.cystat.gov.cy/en/PressRelease?id=65276" TargetMode="External"/><Relationship Id="rId63" Type="http://schemas.openxmlformats.org/officeDocument/2006/relationships/hyperlink" Target="https://www.expansion.com/ahorro/calculadora-sueldo-neto.html" TargetMode="External"/><Relationship Id="rId84" Type="http://schemas.openxmlformats.org/officeDocument/2006/relationships/hyperlink" Target="https://www.cso.ie/en/releasesandpublications/er/elcq/earningsandlabourcostsq42021finalq12022preliminaryestimates/" TargetMode="External"/><Relationship Id="rId138" Type="http://schemas.openxmlformats.org/officeDocument/2006/relationships/hyperlink" Target="https://www.numbeo.com/cost-of-living/country_result.jsp?country=Panama" TargetMode="External"/><Relationship Id="rId159" Type="http://schemas.openxmlformats.org/officeDocument/2006/relationships/hyperlink" Target="https://www.scb.se/hitta-statistik/sverige-i-siffror/utbildning-jobb-och-pengar/medelloner-i-sverige/" TargetMode="External"/><Relationship Id="rId170" Type="http://schemas.openxmlformats.org/officeDocument/2006/relationships/hyperlink" Target="https://www.numbeo.com/cost-of-living/country_result.jsp?country=El+Salvador" TargetMode="External"/><Relationship Id="rId191" Type="http://schemas.openxmlformats.org/officeDocument/2006/relationships/hyperlink" Target="https://observatoriodefinanzas.com/wp-content/uploads/Presentacio%CC%81n-IRT-13ABR21-min.pdf" TargetMode="External"/><Relationship Id="rId107" Type="http://schemas.openxmlformats.org/officeDocument/2006/relationships/hyperlink" Target="https://work.calculate.co.kr/annual-salary-calculator" TargetMode="External"/><Relationship Id="rId11" Type="http://schemas.openxmlformats.org/officeDocument/2006/relationships/hyperlink" Target="https://www.abs.gov.au/ausstats/abs@.nsf/mf/6302.0" TargetMode="External"/><Relationship Id="rId32" Type="http://schemas.openxmlformats.org/officeDocument/2006/relationships/hyperlink" Target="https://www150.statcan.gc.ca/n1/dai-quo/cal1-eng.htm" TargetMode="External"/><Relationship Id="rId53" Type="http://schemas.openxmlformats.org/officeDocument/2006/relationships/hyperlink" Target="http://hvormegetefterskat.dk/" TargetMode="External"/><Relationship Id="rId74" Type="http://schemas.openxmlformats.org/officeDocument/2006/relationships/hyperlink" Target="https://www.numbeo.com/cost-of-living/country_result.jsp?country=Guatemala" TargetMode="External"/><Relationship Id="rId128" Type="http://schemas.openxmlformats.org/officeDocument/2006/relationships/hyperlink" Target="https://www.numbeo.com/cost-of-living/country_result.jsp?country=Nigeria" TargetMode="External"/><Relationship Id="rId149" Type="http://schemas.openxmlformats.org/officeDocument/2006/relationships/hyperlink" Target="https://www.ine.pt/xportal/xmain?xpid=INE&amp;xpgid=ine_indicadores&amp;indOcorrCod=0010697&amp;contexto=bd&amp;selTab=tab2" TargetMode="External"/><Relationship Id="rId5" Type="http://schemas.openxmlformats.org/officeDocument/2006/relationships/hyperlink" Target="https://www.armstat.am/ru/?nid=12&amp;id=08001" TargetMode="External"/><Relationship Id="rId95" Type="http://schemas.openxmlformats.org/officeDocument/2006/relationships/hyperlink" Target="https://ec.europa.eu/eurostat/databrowser/view/EARN_NT_NETFT/default/table?lang=en&amp;category=labour.earn.earn_net" TargetMode="External"/><Relationship Id="rId160" Type="http://schemas.openxmlformats.org/officeDocument/2006/relationships/hyperlink" Target="https://www.scb.se/en/finding-statistics/publishing-calendar/?prodKod=AM0101" TargetMode="External"/><Relationship Id="rId181" Type="http://schemas.openxmlformats.org/officeDocument/2006/relationships/hyperlink" Target="https://www.pfu.gov.ua/2152284-pokaznyk-serednoyi-zarobitnoyi-platy-za-2022-rik/" TargetMode="External"/><Relationship Id="rId22" Type="http://schemas.openxmlformats.org/officeDocument/2006/relationships/hyperlink" Target="https://www.calculator.bg/1/zaplata_bruto_neto.html" TargetMode="External"/><Relationship Id="rId43" Type="http://schemas.openxmlformats.org/officeDocument/2006/relationships/hyperlink" Target="https://www.mof.gov.cy/mof/cystat/statistics.nsf/labour_34main_en/labour_34main_en?OpenForm&amp;sub=4&amp;sel=1" TargetMode="External"/><Relationship Id="rId64" Type="http://schemas.openxmlformats.org/officeDocument/2006/relationships/hyperlink" Target="https://statfin.stat.fi/PxWeb/pxweb/en/StatFin/StatFin__ati/statfin_ati_pxt_11zu.px/" TargetMode="External"/><Relationship Id="rId118" Type="http://schemas.openxmlformats.org/officeDocument/2006/relationships/hyperlink" Target="https://statbank.statistica.md/PxWeb/pxweb/en/30%20Statistica%20sociala/30%20Statistica%20sociala__03%20FM__SAL010__serii%20lunare/SAL014900.px/table/tableViewLayout1/?rxid=6d7450f9-5bd0-45b1-ac5f-5ccaee5f48bc" TargetMode="External"/><Relationship Id="rId139" Type="http://schemas.openxmlformats.org/officeDocument/2006/relationships/hyperlink" Target="https://www.inei.gob.pe/prensa/noticias/en-lima-metropolitana-la-poblacion-ocupada-alcanza-los-5-millones-64-mil-personas-en-el-trimestre-mayo-junio-julio-del-2022-13849/" TargetMode="External"/><Relationship Id="rId85" Type="http://schemas.openxmlformats.org/officeDocument/2006/relationships/hyperlink" Target="https://www.cso.ie/en/csolatestnews/releasecalendar/" TargetMode="External"/><Relationship Id="rId150" Type="http://schemas.openxmlformats.org/officeDocument/2006/relationships/hyperlink" Target="https://www.numbeo.com/cost-of-living/country_result.jsp?country=Paraguay" TargetMode="External"/><Relationship Id="rId171" Type="http://schemas.openxmlformats.org/officeDocument/2006/relationships/hyperlink" Target="https://www.numbeo.com/cost-of-living/country_result.jsp?country=Thailand" TargetMode="External"/><Relationship Id="rId192" Type="http://schemas.openxmlformats.org/officeDocument/2006/relationships/hyperlink" Target="https://www.numbeo.com/cost-of-living/country_result.jsp?country=Vietnam" TargetMode="External"/><Relationship Id="rId12" Type="http://schemas.openxmlformats.org/officeDocument/2006/relationships/hyperlink" Target="https://www.abs.gov.au/ausstats/abs@.nsf/mf/6302.0" TargetMode="External"/><Relationship Id="rId33" Type="http://schemas.openxmlformats.org/officeDocument/2006/relationships/hyperlink" Target="https://salaryaftertax.com/ca/salary-calculator" TargetMode="External"/><Relationship Id="rId108" Type="http://schemas.openxmlformats.org/officeDocument/2006/relationships/hyperlink" Target="https://www.numbeo.com/cost-of-living/country_result.jsp?country=Kuwait" TargetMode="External"/><Relationship Id="rId129" Type="http://schemas.openxmlformats.org/officeDocument/2006/relationships/hyperlink" Target="https://www.numbeo.com/cost-of-living/country_result.jsp?country=Nicaragua&amp;displayCurrency=NIO" TargetMode="External"/><Relationship Id="rId54" Type="http://schemas.openxmlformats.org/officeDocument/2006/relationships/hyperlink" Target="https://www.numbeo.com/cost-of-living/country_result.jsp?country=Dominican+Republic" TargetMode="External"/><Relationship Id="rId75" Type="http://schemas.openxmlformats.org/officeDocument/2006/relationships/hyperlink" Target="https://www.censtatd.gov.hk/hkstat/sub/sp210.jsp?productCode=B1050009" TargetMode="External"/><Relationship Id="rId96" Type="http://schemas.openxmlformats.org/officeDocument/2006/relationships/hyperlink" Target="https://www.pmi.it/servizi/292472/calcolo-stipendio-netto.html?step=2&amp;ral=22340&amp;reg=lombardia&amp;com=0.8&amp;car=no&amp;child=0&amp;childcharge=100&amp;family=0&amp;monthlypay=14&amp;days=365" TargetMode="External"/><Relationship Id="rId140" Type="http://schemas.openxmlformats.org/officeDocument/2006/relationships/hyperlink" Target="http://www.ramsal.com/linea/peru/peru01.htm" TargetMode="External"/><Relationship Id="rId161" Type="http://schemas.openxmlformats.org/officeDocument/2006/relationships/hyperlink" Target="https://statsskuld.se/en/jobs/net-salary" TargetMode="External"/><Relationship Id="rId182" Type="http://schemas.openxmlformats.org/officeDocument/2006/relationships/hyperlink" Target="http://www.ukrstat.gov.ua/" TargetMode="External"/><Relationship Id="rId6" Type="http://schemas.openxmlformats.org/officeDocument/2006/relationships/hyperlink" Target="https://armstat.am/nsdp/arc/" TargetMode="External"/><Relationship Id="rId23" Type="http://schemas.openxmlformats.org/officeDocument/2006/relationships/hyperlink" Target="https://www.numbeo.com/cost-of-living/country_result.jsp?country=Bahrain" TargetMode="External"/><Relationship Id="rId119" Type="http://schemas.openxmlformats.org/officeDocument/2006/relationships/hyperlink" Target="https://salarii.md/" TargetMode="External"/><Relationship Id="rId44" Type="http://schemas.openxmlformats.org/officeDocument/2006/relationships/hyperlink" Target="https://www.qnta.biz/resources/cyprus-tax/tax-calculators/gross-to-net-salary" TargetMode="External"/><Relationship Id="rId65" Type="http://schemas.openxmlformats.org/officeDocument/2006/relationships/hyperlink" Target="https://www.stat.fi/ajk/julkistamiskalenteri/index_en.html" TargetMode="External"/><Relationship Id="rId86" Type="http://schemas.openxmlformats.org/officeDocument/2006/relationships/hyperlink" Target="https://salaryaftertax.com/ie/salary-calculator" TargetMode="External"/><Relationship Id="rId130" Type="http://schemas.openxmlformats.org/officeDocument/2006/relationships/hyperlink" Target="https://www.cpb.nl/sites/default/files/omnidownload/CPB-Kerngegevenstabel-juniraming-2021.pdf" TargetMode="External"/><Relationship Id="rId151" Type="http://schemas.openxmlformats.org/officeDocument/2006/relationships/hyperlink" Target="https://www.numbeo.com/cost-of-living/country_result.jsp?country=Qatar" TargetMode="External"/><Relationship Id="rId172" Type="http://schemas.openxmlformats.org/officeDocument/2006/relationships/hyperlink" Target="https://www.stat.tj/ru/tables-real-sector" TargetMode="External"/><Relationship Id="rId193" Type="http://schemas.openxmlformats.org/officeDocument/2006/relationships/hyperlink" Target="http://www.statssa.gov.za/?page_id=1854&amp;PPN=P0277" TargetMode="External"/><Relationship Id="rId13" Type="http://schemas.openxmlformats.org/officeDocument/2006/relationships/hyperlink" Target="https://paycalculator.com.au/" TargetMode="External"/><Relationship Id="rId109" Type="http://schemas.openxmlformats.org/officeDocument/2006/relationships/hyperlink" Target="https://stat.gov.kz/edition/publication/month" TargetMode="External"/><Relationship Id="rId34" Type="http://schemas.openxmlformats.org/officeDocument/2006/relationships/hyperlink" Target="https://www.bfs.admin.ch/bfs/en/home/statistics/work-income/wages-income-employment-labour-costs.html" TargetMode="External"/><Relationship Id="rId55" Type="http://schemas.openxmlformats.org/officeDocument/2006/relationships/hyperlink" Target="https://www.numbeo.com/cost-of-living/country_result.jsp?country=Algeria" TargetMode="External"/><Relationship Id="rId76" Type="http://schemas.openxmlformats.org/officeDocument/2006/relationships/hyperlink" Target="https://hk.talent.com/en/tax-calculator" TargetMode="External"/><Relationship Id="rId97" Type="http://schemas.openxmlformats.org/officeDocument/2006/relationships/hyperlink" Target="https://www.numbeo.com/cost-of-living/country_result.jsp?country=Jordan" TargetMode="External"/><Relationship Id="rId120" Type="http://schemas.openxmlformats.org/officeDocument/2006/relationships/hyperlink" Target="http://monstat.org/eng/page.php?id=1763&amp;pageid=24" TargetMode="External"/><Relationship Id="rId141" Type="http://schemas.openxmlformats.org/officeDocument/2006/relationships/hyperlink" Target="https://www.numbeo.com/cost-of-living/country_result.jsp?country=Philippines" TargetMode="External"/><Relationship Id="rId7" Type="http://schemas.openxmlformats.org/officeDocument/2006/relationships/hyperlink" Target="https://www.indec.gob.ar/uploads/informesdeprensa/ingresos_1trim225FA3D2E6CC.pdf" TargetMode="External"/><Relationship Id="rId71" Type="http://schemas.openxmlformats.org/officeDocument/2006/relationships/hyperlink" Target="https://www.efka.gov.gr/el/meniaia-stoicheia-apascholeses-2021" TargetMode="External"/><Relationship Id="rId92" Type="http://schemas.openxmlformats.org/officeDocument/2006/relationships/hyperlink" Target="https://www.numbeo.com/cost-of-living/country_result.jsp?country=Iran&amp;displayCurrency=IRR" TargetMode="External"/><Relationship Id="rId162" Type="http://schemas.openxmlformats.org/officeDocument/2006/relationships/hyperlink" Target="https://data.gov.sg/dataset/average-monthly-nominal-earnings-per-employee-by-sex-quarterly" TargetMode="External"/><Relationship Id="rId183" Type="http://schemas.openxmlformats.org/officeDocument/2006/relationships/hyperlink" Target="https://finance.ua/ru/calc/salary" TargetMode="External"/><Relationship Id="rId2" Type="http://schemas.openxmlformats.org/officeDocument/2006/relationships/hyperlink" Target="https://www.numbeo.com/cost-of-living/country_result.jsp?country=United+Arab+Emirates" TargetMode="External"/><Relationship Id="rId29" Type="http://schemas.openxmlformats.org/officeDocument/2006/relationships/hyperlink" Target="http://www.belstat.gov.by/ofitsialnaya-statistika/polzovatelyam/kalendar-polzovatelya/" TargetMode="External"/><Relationship Id="rId24" Type="http://schemas.openxmlformats.org/officeDocument/2006/relationships/hyperlink" Target="https://www.numbeo.com/cost-of-living/country_result.jsp?country=Bolivia" TargetMode="External"/><Relationship Id="rId40" Type="http://schemas.openxmlformats.org/officeDocument/2006/relationships/hyperlink" Target="https://www.numbeo.com/cost-of-living/country_result.jsp?country=Costa+Rica" TargetMode="External"/><Relationship Id="rId45" Type="http://schemas.openxmlformats.org/officeDocument/2006/relationships/hyperlink" Target="https://www.czso.cz/csu/czso/cri/prumerne-mzdy-2-ctvrtleti-2022" TargetMode="External"/><Relationship Id="rId66" Type="http://schemas.openxmlformats.org/officeDocument/2006/relationships/hyperlink" Target="https://www.summarum.fi/verolaskuri/" TargetMode="External"/><Relationship Id="rId87" Type="http://schemas.openxmlformats.org/officeDocument/2006/relationships/hyperlink" Target="https://www.cbs.gov.il/he/pages/default.aspx" TargetMode="External"/><Relationship Id="rId110" Type="http://schemas.openxmlformats.org/officeDocument/2006/relationships/hyperlink" Target="https://www.numbeo.com/cost-of-living/country_result.jsp?country=Sri+Lanka" TargetMode="External"/><Relationship Id="rId115" Type="http://schemas.openxmlformats.org/officeDocument/2006/relationships/hyperlink" Target="https://statistiques.public.lu/en/agenda/calendrier-diffusion/index.html" TargetMode="External"/><Relationship Id="rId131" Type="http://schemas.openxmlformats.org/officeDocument/2006/relationships/hyperlink" Target="https://thetax.nl/?year=2022&amp;startFrom=Year&amp;salary=38000&amp;allowance=0&amp;socialSecurity=1&amp;retired=0&amp;ruling=0&amp;rulingChoice=normal" TargetMode="External"/><Relationship Id="rId136" Type="http://schemas.openxmlformats.org/officeDocument/2006/relationships/hyperlink" Target="https://www.paye.net.nz/calculator.html" TargetMode="External"/><Relationship Id="rId157" Type="http://schemas.openxmlformats.org/officeDocument/2006/relationships/hyperlink" Target="http://www.gks.ru/wps/wcm/connect/rosstat_main/rosstat/ru/statistics/publications/plan/" TargetMode="External"/><Relationship Id="rId178" Type="http://schemas.openxmlformats.org/officeDocument/2006/relationships/hyperlink" Target="https://eng.stat.gov.tw/ct.asp?xItem=46197&amp;ctNode=1616&amp;mp=5" TargetMode="External"/><Relationship Id="rId61" Type="http://schemas.openxmlformats.org/officeDocument/2006/relationships/hyperlink" Target="https://www.ine.es/daco/daco42/etcl/etcl0122.pdf" TargetMode="External"/><Relationship Id="rId82" Type="http://schemas.openxmlformats.org/officeDocument/2006/relationships/hyperlink" Target="https://www.bps.go.id/indicator/19/1521/1/rata-rata-upah-gaji.html" TargetMode="External"/><Relationship Id="rId152" Type="http://schemas.openxmlformats.org/officeDocument/2006/relationships/hyperlink" Target="https://insse.ro/cms/en/comunicate-de-presa-view?field_categorie_value_i18n%5B%5D=14&amp;created=7&amp;field_cuvinte_cheie_value=&amp;items_per_page=10" TargetMode="External"/><Relationship Id="rId173" Type="http://schemas.openxmlformats.org/officeDocument/2006/relationships/hyperlink" Target="https://andoz.tj/Calc?culture=ru-RU" TargetMode="External"/><Relationship Id="rId194" Type="http://schemas.openxmlformats.org/officeDocument/2006/relationships/hyperlink" Target="http://www.statssa.gov.za/publications/P0277/P0277September2020.pdf" TargetMode="External"/><Relationship Id="rId19" Type="http://schemas.openxmlformats.org/officeDocument/2006/relationships/hyperlink" Target="https://www.belgiumtaxcalculator.com/" TargetMode="External"/><Relationship Id="rId14" Type="http://schemas.openxmlformats.org/officeDocument/2006/relationships/hyperlink" Target="https://www.stat.gov.az/news/macroeconomy.php?page=1&amp;lang=en" TargetMode="External"/><Relationship Id="rId30" Type="http://schemas.openxmlformats.org/officeDocument/2006/relationships/hyperlink" Target="https://myfin.by/wiki/term/strahovye-vznosy-v-fszn" TargetMode="External"/><Relationship Id="rId35" Type="http://schemas.openxmlformats.org/officeDocument/2006/relationships/hyperlink" Target="https://ethz.ch/en/the-eth-zurich/working-teaching-and-research/welcome-center/services-and-downloads/salary-calculator.html" TargetMode="External"/><Relationship Id="rId56" Type="http://schemas.openxmlformats.org/officeDocument/2006/relationships/hyperlink" Target="https://www.numbeo.com/cost-of-living/country_result.jsp?country=Ecuador" TargetMode="External"/><Relationship Id="rId77" Type="http://schemas.openxmlformats.org/officeDocument/2006/relationships/hyperlink" Target="https://www.numbeo.com/cost-of-living/country_result.jsp?country=Honduras&amp;displayCurrency=HNL" TargetMode="External"/><Relationship Id="rId100" Type="http://schemas.openxmlformats.org/officeDocument/2006/relationships/hyperlink" Target="https://www.knbs.or.ke/economic-survey-2022/" TargetMode="External"/><Relationship Id="rId105" Type="http://schemas.openxmlformats.org/officeDocument/2006/relationships/hyperlink" Target="https://www.numbeo.com/cost-of-living/country_result.jsp?country=Cambodia&amp;displayCurrency=KHR" TargetMode="External"/><Relationship Id="rId126" Type="http://schemas.openxmlformats.org/officeDocument/2006/relationships/hyperlink" Target="https://isrmatic.com/" TargetMode="External"/><Relationship Id="rId147" Type="http://schemas.openxmlformats.org/officeDocument/2006/relationships/hyperlink" Target="https://www.infor.pl/kalkulatory/wynagrodzen-niskie-podatki.html" TargetMode="External"/><Relationship Id="rId168" Type="http://schemas.openxmlformats.org/officeDocument/2006/relationships/hyperlink" Target="https://slovak.statistics.sk/wps/portal/ext/products/Prve-Zverejnenie-Kalendar/!ut/p/z1/tVNNk5NAFPwtHjjCvDB8DN4gVoCVRFkWkszFAnYSMOFjYYSNv95Bc7HKJbEs5wJUdfd0P14jinaI1ulQHlNeNnV6Ft97anyxwzCMgiQBN1FX4OOFC5s4BsAmShBFNK95ywu0b7I-LeT-JJf1QU5PXALx0nSVUBtqJvdtlw4XCYae8ZN4Yj3LsU4OspZqWNYWTJBU9iwTgxz0TE8tllqTfJuXz2h_F3r7029o-sRxFjaAE2DwHz5GG2-5Ut1YR3QmzpNx5S9d29PMAIAErg6-7cWPVogx2HiWL8bxiw9vHBvu488YnPhJ8PkaL1pb4CeR9vSJmOqH1eLKnwH80_0CQOfjbaf_dWOCtzTorEnHuAEQQ9qLFOabW7AQMYeSjSiup908o-gvl8wD9IBomVXKmFcKKCYxxWhMoqmaZegYT61Ru_VyfRSyKS-mOjRod5e2oJZfX16oLVrV1Jy9crT7H7US99h1homw2LED61infOtE3wvO2_69BBKM46gcm-Z4ZkreVBL8iVI0vfD3OxK1VUXwpZyOfHr0vjsb2d0SrmeX8d0PjrMiag!!/dz/d5/L2dJQSEvUUt3QS80TmxFL1o2X0FRUVFTTFZWMEdWMkYwSTMxRzBOVVUwMDM3/" TargetMode="External"/><Relationship Id="rId8" Type="http://schemas.openxmlformats.org/officeDocument/2006/relationships/hyperlink" Target="https://www.indec.gob.ar/indec/web/Calendario-Fecha-0" TargetMode="External"/><Relationship Id="rId51" Type="http://schemas.openxmlformats.org/officeDocument/2006/relationships/hyperlink" Target="https://www.dst.dk/da/Statistik/Publikationer/gennemsnitsdanskeren" TargetMode="External"/><Relationship Id="rId72" Type="http://schemas.openxmlformats.org/officeDocument/2006/relationships/hyperlink" Target="https://www.efka.gov.gr/el/anakoinoseis" TargetMode="External"/><Relationship Id="rId93" Type="http://schemas.openxmlformats.org/officeDocument/2006/relationships/hyperlink" Target="https://statice.is/publications/news-archive/wages-and-income/average-earnings-2021/" TargetMode="External"/><Relationship Id="rId98" Type="http://schemas.openxmlformats.org/officeDocument/2006/relationships/hyperlink" Target="http://www.stat.go.jp/english/data/nenkan/index.html" TargetMode="External"/><Relationship Id="rId121" Type="http://schemas.openxmlformats.org/officeDocument/2006/relationships/hyperlink" Target="http://monstat.org/eng/index.php" TargetMode="External"/><Relationship Id="rId142" Type="http://schemas.openxmlformats.org/officeDocument/2006/relationships/hyperlink" Target="http://psa.gov.ph/current-labor-statistics/statistical-tables" TargetMode="External"/><Relationship Id="rId163" Type="http://schemas.openxmlformats.org/officeDocument/2006/relationships/hyperlink" Target="https://stats.mom.gov.sg/Pages/Future-Releases.aspx" TargetMode="External"/><Relationship Id="rId184" Type="http://schemas.openxmlformats.org/officeDocument/2006/relationships/hyperlink" Target="https://www.ons.gov.uk/employmentandlabourmarket/peopleinwork/earningsandworkinghours/datasets/averageweeklyearningsearn01" TargetMode="External"/><Relationship Id="rId189" Type="http://schemas.openxmlformats.org/officeDocument/2006/relationships/hyperlink" Target="https://www.numbeo.com/cost-of-living/country_result.jsp?country=Uruguay" TargetMode="External"/><Relationship Id="rId3" Type="http://schemas.openxmlformats.org/officeDocument/2006/relationships/hyperlink" Target="http://www.instat.gov.al/en/themes/labour-market-and-education/wages/" TargetMode="External"/><Relationship Id="rId25" Type="http://schemas.openxmlformats.org/officeDocument/2006/relationships/hyperlink" Target="https://www.ibge.gov.br/estatisticas/sociais/educacao/9171-pesquisa-nacional-por-amostra-de-domicilios-continua-mensal.html?=&amp;t=destaques" TargetMode="External"/><Relationship Id="rId46" Type="http://schemas.openxmlformats.org/officeDocument/2006/relationships/hyperlink" Target="https://www.czso.cz/csu/czso/prumerne-mzdy" TargetMode="External"/><Relationship Id="rId67" Type="http://schemas.openxmlformats.org/officeDocument/2006/relationships/hyperlink" Target="https://www.insee.fr/fr/statistiques/6436313" TargetMode="External"/><Relationship Id="rId116" Type="http://schemas.openxmlformats.org/officeDocument/2006/relationships/hyperlink" Target="https://salaryaftertax.com/lu/salary-calculator" TargetMode="External"/><Relationship Id="rId137" Type="http://schemas.openxmlformats.org/officeDocument/2006/relationships/hyperlink" Target="https://www.numbeo.com/cost-of-living/country_result.jsp?country=Oman" TargetMode="External"/><Relationship Id="rId158" Type="http://schemas.openxmlformats.org/officeDocument/2006/relationships/hyperlink" Target="https://www.stats.gov.sa/en/814" TargetMode="External"/><Relationship Id="rId20" Type="http://schemas.openxmlformats.org/officeDocument/2006/relationships/hyperlink" Target="https://www.nsi.bg/en/content/3928/total" TargetMode="External"/><Relationship Id="rId41" Type="http://schemas.openxmlformats.org/officeDocument/2006/relationships/hyperlink" Target="https://www.numbeo.com/cost-of-living/country_result.jsp?country=Cuba" TargetMode="External"/><Relationship Id="rId62" Type="http://schemas.openxmlformats.org/officeDocument/2006/relationships/hyperlink" Target="https://www.ine.es/daco/daco41/calen.htm" TargetMode="External"/><Relationship Id="rId83" Type="http://schemas.openxmlformats.org/officeDocument/2006/relationships/hyperlink" Target="https://www.cso.ie/en/releasesandpublications/er/elcq/earningsandlabourcostsq42020finalq12021preliminaryestimates/" TargetMode="External"/><Relationship Id="rId88" Type="http://schemas.openxmlformats.org/officeDocument/2006/relationships/hyperlink" Target="https://www.cbs.gov.il/he/Pages/%D7%AA%D7%97%D7%96%D7%99%D7%AA-%D7%A4%D7%A8%D7%A1%D7%95%D7%9D.aspx" TargetMode="External"/><Relationship Id="rId111" Type="http://schemas.openxmlformats.org/officeDocument/2006/relationships/hyperlink" Target="https://osp.stat.gov.lt/statistiniu-rodikliu-analize?hash=b878641e-9978-470a-83ba-349c713ee4b1" TargetMode="External"/><Relationship Id="rId132" Type="http://schemas.openxmlformats.org/officeDocument/2006/relationships/hyperlink" Target="https://www.ssb.no/en/arbeid-og-lonn/statistikker/lonnansatt" TargetMode="External"/><Relationship Id="rId153" Type="http://schemas.openxmlformats.org/officeDocument/2006/relationships/hyperlink" Target="http://www.insse.ro/cms/en/comunicate-de-presa-view?field_categorie_value_i18n%5B%5D=14&amp;created=1&amp;field_cuvinte_cheie_value=&amp;items_per_page=10" TargetMode="External"/><Relationship Id="rId174" Type="http://schemas.openxmlformats.org/officeDocument/2006/relationships/hyperlink" Target="https://fergana.agency/news/108394/" TargetMode="External"/><Relationship Id="rId179" Type="http://schemas.openxmlformats.org/officeDocument/2006/relationships/hyperlink" Target="https://eng.stat.gov.tw/lp.asp?ctNode=1616&amp;CtUnit=766&amp;BaseDSD=7&amp;MP=5" TargetMode="External"/><Relationship Id="rId195" Type="http://schemas.openxmlformats.org/officeDocument/2006/relationships/hyperlink" Target="https://www.taxtim.com/za/calculators/income-tax?mmi" TargetMode="External"/><Relationship Id="rId190" Type="http://schemas.openxmlformats.org/officeDocument/2006/relationships/hyperlink" Target="https://www.stat.uz/ru/ofitsialnaya-statistika/labor-market" TargetMode="External"/><Relationship Id="rId15" Type="http://schemas.openxmlformats.org/officeDocument/2006/relationships/hyperlink" Target="https://www.stat.gov.az/menu/4/publications/indexen.php" TargetMode="External"/><Relationship Id="rId36" Type="http://schemas.openxmlformats.org/officeDocument/2006/relationships/hyperlink" Target="https://www.ine.cl/prensa/2022/07/21/el-ingreso-laboral-promedio-mensual-en-chile-fue-de-$681.039-en-2021" TargetMode="External"/><Relationship Id="rId57" Type="http://schemas.openxmlformats.org/officeDocument/2006/relationships/hyperlink" Target="https://www.stat.ee/et/avasta-statistikat/valdkonnad/tooelu/palk-ja-toojoukulu/keskmine-brutokuupalk" TargetMode="External"/><Relationship Id="rId106" Type="http://schemas.openxmlformats.org/officeDocument/2006/relationships/hyperlink" Target="http://eboard.moel.go.kr/indicator/detail?menu_idx=3" TargetMode="External"/><Relationship Id="rId127" Type="http://schemas.openxmlformats.org/officeDocument/2006/relationships/hyperlink" Target="https://www.dosm.gov.my/v1/index.php?r=column/cthemeByCat&amp;cat=157&amp;bul_id=VDRDc0pGZHpieEUwMDNFWHVHSnpkdz09&amp;menu_id=Tm8zcnRjdVRNWWlpWjRlbmtlaDk1UT09" TargetMode="External"/><Relationship Id="rId10" Type="http://schemas.openxmlformats.org/officeDocument/2006/relationships/hyperlink" Target="https://www.statistik.at/statistiken/bevoelkerung-und-soziales/einkommen-und-soziale-lage/nettomonatseinkommen" TargetMode="External"/><Relationship Id="rId31" Type="http://schemas.openxmlformats.org/officeDocument/2006/relationships/hyperlink" Target="https://www150.statcan.gc.ca/t1/tbl1/en/tv.action?pid=1410022201" TargetMode="External"/><Relationship Id="rId52" Type="http://schemas.openxmlformats.org/officeDocument/2006/relationships/hyperlink" Target="https://www.statistikbanken.dk/LONS20" TargetMode="External"/><Relationship Id="rId73" Type="http://schemas.openxmlformats.org/officeDocument/2006/relationships/hyperlink" Target="http://aftertax.gr/" TargetMode="External"/><Relationship Id="rId78" Type="http://schemas.openxmlformats.org/officeDocument/2006/relationships/hyperlink" Target="https://podaci.dzs.hr/hr/" TargetMode="External"/><Relationship Id="rId94" Type="http://schemas.openxmlformats.org/officeDocument/2006/relationships/hyperlink" Target="http://virtus.is/en/" TargetMode="External"/><Relationship Id="rId99" Type="http://schemas.openxmlformats.org/officeDocument/2006/relationships/hyperlink" Target="https://salaryaftertax.com/jp/salary-calculator" TargetMode="External"/><Relationship Id="rId101" Type="http://schemas.openxmlformats.org/officeDocument/2006/relationships/hyperlink" Target="https://calculator.co.ke/kra-salary-income-tax-paye-calculator" TargetMode="External"/><Relationship Id="rId122" Type="http://schemas.openxmlformats.org/officeDocument/2006/relationships/hyperlink" Target="http://www.stat.gov.mk/Default_en.aspx" TargetMode="External"/><Relationship Id="rId143" Type="http://schemas.openxmlformats.org/officeDocument/2006/relationships/hyperlink" Target="https://www.numbeo.com/cost-of-living/country_result.jsp?country=Pakistan" TargetMode="External"/><Relationship Id="rId148" Type="http://schemas.openxmlformats.org/officeDocument/2006/relationships/hyperlink" Target="https://www.numbeo.com/cost-of-living/country_result.jsp?country=Puerto+Rico" TargetMode="External"/><Relationship Id="rId164" Type="http://schemas.openxmlformats.org/officeDocument/2006/relationships/hyperlink" Target="https://sg.neuvoo.com/tax-calculator/?iam=&amp;uet_calculate=calculate&amp;salary=5549&amp;from=month&amp;region=Singapore" TargetMode="External"/><Relationship Id="rId169" Type="http://schemas.openxmlformats.org/officeDocument/2006/relationships/hyperlink" Target="https://openiazoch.zoznam.sk/kalkulacky/vypocet-cistej-mzdy" TargetMode="External"/><Relationship Id="rId185" Type="http://schemas.openxmlformats.org/officeDocument/2006/relationships/hyperlink" Target="https://www.ons.gov.uk/employmentandlabourmarket/peopleinwork/employmentandemployeetypes/bulletins/averageweeklyearningsingreatbritain/latest" TargetMode="External"/><Relationship Id="rId4" Type="http://schemas.openxmlformats.org/officeDocument/2006/relationships/hyperlink" Target="http://www.instat.gov.al/en/themes/labour-market-and-education/wages/" TargetMode="External"/><Relationship Id="rId9" Type="http://schemas.openxmlformats.org/officeDocument/2006/relationships/hyperlink" Target="https://calcularsueldo.com.ar/sueldoneto.html" TargetMode="External"/><Relationship Id="rId180" Type="http://schemas.openxmlformats.org/officeDocument/2006/relationships/hyperlink" Target="https://tw.talent.com/en/tax-calculator?salary=54238&amp;from=month&amp;region=Taiwan" TargetMode="External"/><Relationship Id="rId26" Type="http://schemas.openxmlformats.org/officeDocument/2006/relationships/hyperlink" Target="https://www.ibge.gov.br/estatisticas/sociais/educacao/9171-pesquisa-nacional-por-amostra-de-domicilios-continua-mensal.html?=&amp;t=destaques" TargetMode="External"/><Relationship Id="rId47" Type="http://schemas.openxmlformats.org/officeDocument/2006/relationships/hyperlink" Target="https://www.vypocet.cz/cista-mzda" TargetMode="External"/><Relationship Id="rId68" Type="http://schemas.openxmlformats.org/officeDocument/2006/relationships/hyperlink" Target="https://www.geostat.ge/en/modules/categories/39/wages" TargetMode="External"/><Relationship Id="rId89" Type="http://schemas.openxmlformats.org/officeDocument/2006/relationships/hyperlink" Target="https://il.talent.com/en/tax-calculator?salary=12672&amp;from=month&amp;region=Israel" TargetMode="External"/><Relationship Id="rId112" Type="http://schemas.openxmlformats.org/officeDocument/2006/relationships/hyperlink" Target="https://osp.stat.gov.lt/kalendoriai?expanded=true" TargetMode="External"/><Relationship Id="rId133" Type="http://schemas.openxmlformats.org/officeDocument/2006/relationships/hyperlink" Target="https://no.talent.com/en/tax-calculator?salary=48750&amp;from=month&amp;region=Norway" TargetMode="External"/><Relationship Id="rId154" Type="http://schemas.openxmlformats.org/officeDocument/2006/relationships/hyperlink" Target="http://www.stat.gov.rs/en-US/oblasti/trziste-rada/zarade" TargetMode="External"/><Relationship Id="rId175" Type="http://schemas.openxmlformats.org/officeDocument/2006/relationships/hyperlink" Target="https://turkmenportal.com/compositions/511" TargetMode="External"/><Relationship Id="rId196" Type="http://schemas.openxmlformats.org/officeDocument/2006/relationships/hyperlink" Target="https://www.newzimbabwe.com/mavima-pushes-for-fair-salaries/" TargetMode="External"/><Relationship Id="rId16" Type="http://schemas.openxmlformats.org/officeDocument/2006/relationships/hyperlink" Target="https://www.taxes.gov.az/ru/page/muzdlu-isciler-ucun" TargetMode="External"/><Relationship Id="rId37" Type="http://schemas.openxmlformats.org/officeDocument/2006/relationships/hyperlink" Target="https://www.ine.cl/estadisticas/sociales/ingresos-y-gastos/encuesta-suplementaria-de-ingresos" TargetMode="External"/><Relationship Id="rId58" Type="http://schemas.openxmlformats.org/officeDocument/2006/relationships/hyperlink" Target="https://www.stat.ee/stat-keskmine-brutokuupalk" TargetMode="External"/><Relationship Id="rId79" Type="http://schemas.openxmlformats.org/officeDocument/2006/relationships/hyperlink" Target="https://podaci.dzs.hr/hr/kalendar-objavljivanja-i-program-publiciranja/" TargetMode="External"/><Relationship Id="rId102" Type="http://schemas.openxmlformats.org/officeDocument/2006/relationships/hyperlink" Target="http://www.stat.kg/ru/statistics/trud-i-zarabotnaya-plata/" TargetMode="External"/><Relationship Id="rId123" Type="http://schemas.openxmlformats.org/officeDocument/2006/relationships/hyperlink" Target="https://nso.gov.mt/en/News_Releases/View_by_Unit/Unit_C2/Labour_Market_Statistics/Pages/Labour-Force-Survey.aspx" TargetMode="External"/><Relationship Id="rId144" Type="http://schemas.openxmlformats.org/officeDocument/2006/relationships/hyperlink" Target="http://www.pbs.gov.pk/content/labour-force-survey-2017-18-annual-report" TargetMode="External"/><Relationship Id="rId90" Type="http://schemas.openxmlformats.org/officeDocument/2006/relationships/hyperlink" Target="https://www.numbeo.com/cost-of-living/country_result.jsp?country=India" TargetMode="External"/><Relationship Id="rId165" Type="http://schemas.openxmlformats.org/officeDocument/2006/relationships/hyperlink" Target="https://www.stat.si/StatWeb/en/Field/Index/15" TargetMode="External"/><Relationship Id="rId186" Type="http://schemas.openxmlformats.org/officeDocument/2006/relationships/hyperlink" Target="https://salaryaftertax.com/salary-calculator/uk" TargetMode="External"/><Relationship Id="rId27" Type="http://schemas.openxmlformats.org/officeDocument/2006/relationships/hyperlink" Target="http://www.calculador.com.br/calculo/salario-liquido" TargetMode="External"/><Relationship Id="rId48" Type="http://schemas.openxmlformats.org/officeDocument/2006/relationships/hyperlink" Target="https://www.destatis.de/DE/Themen/Arbeit/Verdienste/Verdienste-Verdienstunterschiede/verdienste-branchen.html" TargetMode="External"/><Relationship Id="rId69" Type="http://schemas.openxmlformats.org/officeDocument/2006/relationships/hyperlink" Target="https://www.geostat.ge/index.php/ka/calendar" TargetMode="External"/><Relationship Id="rId113" Type="http://schemas.openxmlformats.org/officeDocument/2006/relationships/hyperlink" Target="https://www.robolabs.lt/ru_RU/atlyginimo_skaiciuokle" TargetMode="External"/><Relationship Id="rId134" Type="http://schemas.openxmlformats.org/officeDocument/2006/relationships/hyperlink" Target="https://www.stats.govt.nz/information-releases/labour-market-statistics-march-2022-quarter" TargetMode="External"/><Relationship Id="rId80" Type="http://schemas.openxmlformats.org/officeDocument/2006/relationships/hyperlink" Target="https://www.ksh.hu/gyorstajekoztatok/" TargetMode="External"/><Relationship Id="rId155" Type="http://schemas.openxmlformats.org/officeDocument/2006/relationships/hyperlink" Target="http://www.stat.gov.rs/en-us/calendar/?a=24&amp;s=2403" TargetMode="External"/><Relationship Id="rId176" Type="http://schemas.openxmlformats.org/officeDocument/2006/relationships/hyperlink" Target="https://www.numbeo.com/cost-of-living/country_result.jsp?country=Tunisia" TargetMode="External"/><Relationship Id="rId197" Type="http://schemas.openxmlformats.org/officeDocument/2006/relationships/hyperlink" Target="https://www.zra.org.zm/calculate-paye/" TargetMode="External"/><Relationship Id="rId17" Type="http://schemas.openxmlformats.org/officeDocument/2006/relationships/hyperlink" Target="http://bhas.gov.ba/" TargetMode="External"/><Relationship Id="rId38" Type="http://schemas.openxmlformats.org/officeDocument/2006/relationships/hyperlink" Target="https://data.stats.gov.cn/english/easyquery.htm?cn=C01" TargetMode="External"/><Relationship Id="rId59" Type="http://schemas.openxmlformats.org/officeDocument/2006/relationships/hyperlink" Target="https://www.kalkulaator.ee/en/salary-calculator" TargetMode="External"/><Relationship Id="rId103" Type="http://schemas.openxmlformats.org/officeDocument/2006/relationships/hyperlink" Target="http://www.stat.kg/ru/statistics/trud-i-zarabotnaya-plata/" TargetMode="External"/><Relationship Id="rId124" Type="http://schemas.openxmlformats.org/officeDocument/2006/relationships/hyperlink" Target="http://maltasalary.com/" TargetMode="External"/><Relationship Id="rId70" Type="http://schemas.openxmlformats.org/officeDocument/2006/relationships/hyperlink" Target="https://kernel.tools/calculators/salary-calculator?lang=ka" TargetMode="External"/><Relationship Id="rId91" Type="http://schemas.openxmlformats.org/officeDocument/2006/relationships/hyperlink" Target="https://www.numbeo.com/cost-of-living/country_result.jsp?country=Iraq&amp;displayCurrency=IQD" TargetMode="External"/><Relationship Id="rId145" Type="http://schemas.openxmlformats.org/officeDocument/2006/relationships/hyperlink" Target="https://stat.gov.pl/sygnalne/komunikaty-i-obwieszczenia/lista-komunikatow-i-obwieszczen/komunikat-w-sprawie-przecietnego-miesiecznego-wynagrodzenia-w-sektorze-przedsiebiorstw-bez-wyplat-nagrod-z-zysku-w-lipcu-2022-roku,57,105.html" TargetMode="External"/><Relationship Id="rId166" Type="http://schemas.openxmlformats.org/officeDocument/2006/relationships/hyperlink" Target="https://pxweb.stat.si/SiStatDb/pxweb/en/10_Dem_soc/10_Dem_soc__07_trg_dela__10_place__01_07010_place/0701011S.px/" TargetMode="External"/><Relationship Id="rId187" Type="http://schemas.openxmlformats.org/officeDocument/2006/relationships/hyperlink" Target="https://www.bls.gov/oes/current/oes_nat.htm" TargetMode="External"/><Relationship Id="rId1" Type="http://schemas.openxmlformats.org/officeDocument/2006/relationships/hyperlink" Target="https://www.estadistica.ad/portal/apps/sites/" TargetMode="External"/><Relationship Id="rId28" Type="http://schemas.openxmlformats.org/officeDocument/2006/relationships/hyperlink" Target="https://www.belstat.gov.by/ofitsialnaya-statistika/realny-sector-ekonomiki/stoimost-rabochey-sily/operativnye-dannye/o-nachislennoy-sredney-zarabotnoy-plate-rabotnikov/o-nachislennoy-sredney-zarabotnoy-plate-rabotnikov-respubliki-belarus-v-aprele-2022-g-/" TargetMode="External"/><Relationship Id="rId49" Type="http://schemas.openxmlformats.org/officeDocument/2006/relationships/hyperlink" Target="https://www.destatis.de/SiteGlobals/Forms/Suche/Termine/EN/Terminsuche_Formular.html?cl2Taxonomies_Themen_0=verdienste" TargetMode="External"/><Relationship Id="rId114" Type="http://schemas.openxmlformats.org/officeDocument/2006/relationships/hyperlink" Target="https://lustat.statec.lu/vis?fs%5B0%5D=Topics%2C1%7CPopulation%20and%20employment%23B%23%7CLabour%20market%23B5%23&amp;pg=0&amp;fc=Topics&amp;lc=en&amp;tm=earnings&amp;df%5Bds%5D=release&amp;df%5Bid%5D=DF_C1202&amp;df%5Bag%5D=LU1&amp;df%5Bvs%5D=1.0&amp;pd=2015%2C2021&amp;dq=..A&amp;ly%5Brw%5D=NACE_REV2%2CGENDER&amp;ly%5Bcl%5D=TIME_PERIOD" TargetMode="External"/><Relationship Id="rId60" Type="http://schemas.openxmlformats.org/officeDocument/2006/relationships/hyperlink" Target="https://www.numbeo.com/cost-of-living/country_result.jsp?country=Egypt" TargetMode="External"/><Relationship Id="rId81" Type="http://schemas.openxmlformats.org/officeDocument/2006/relationships/hyperlink" Target="http://www.ksh.hu/dissemination_calendar_fr" TargetMode="External"/><Relationship Id="rId135" Type="http://schemas.openxmlformats.org/officeDocument/2006/relationships/hyperlink" Target="https://www.stats.govt.nz/release-calendar" TargetMode="External"/><Relationship Id="rId156" Type="http://schemas.openxmlformats.org/officeDocument/2006/relationships/hyperlink" Target="https://rosstat.gov.ru/labor_market_employment_salaries" TargetMode="External"/><Relationship Id="rId177" Type="http://schemas.openxmlformats.org/officeDocument/2006/relationships/hyperlink" Target="https://www.numbeo.com/cost-of-living/country_result.jsp?country=Turkey" TargetMode="External"/><Relationship Id="rId18" Type="http://schemas.openxmlformats.org/officeDocument/2006/relationships/hyperlink" Target="https://statbel.fgov.be/fr/themes/emploi-formation/salaires-et-cout-de-la-main-doeuvre/salaires-mensuels-bruts-moyens" TargetMode="External"/><Relationship Id="rId39" Type="http://schemas.openxmlformats.org/officeDocument/2006/relationships/hyperlink" Target="https://www.numbeo.com/cost-of-living/country_result.jsp?country=Colombia" TargetMode="External"/><Relationship Id="rId50" Type="http://schemas.openxmlformats.org/officeDocument/2006/relationships/hyperlink" Target="https://www.bbx.de/brutto-netto-rechner/" TargetMode="External"/><Relationship Id="rId104" Type="http://schemas.openxmlformats.org/officeDocument/2006/relationships/hyperlink" Target="https://kaktus.media/doc/346604_chto_ostaetsia_ot_zarplaty_kyrgyzstancev_posle_yplaty_nalogov_i_otchisleniy.html" TargetMode="External"/><Relationship Id="rId125" Type="http://schemas.openxmlformats.org/officeDocument/2006/relationships/hyperlink" Target="https://www.observatoriolaboral.gob.mx/static/estudios-publicaciones/Tendencias_empleo.html" TargetMode="External"/><Relationship Id="rId146" Type="http://schemas.openxmlformats.org/officeDocument/2006/relationships/hyperlink" Target="https://stat.gov.pl/sygnalne/komunikaty-i-obwieszczenia/18,2020,kategoria.html" TargetMode="External"/><Relationship Id="rId167" Type="http://schemas.openxmlformats.org/officeDocument/2006/relationships/hyperlink" Target="http://datacube.statistics.sk/" TargetMode="External"/><Relationship Id="rId188" Type="http://schemas.openxmlformats.org/officeDocument/2006/relationships/hyperlink" Target="https://goodcalculators.com/us-salary-tax-calculator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Y62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" sqref="C1:G1"/>
    </sheetView>
  </sheetViews>
  <sheetFormatPr baseColWidth="10" defaultColWidth="12.6640625" defaultRowHeight="15.75" customHeight="1" x14ac:dyDescent="0.15"/>
  <cols>
    <col min="1" max="1" width="6.1640625" customWidth="1"/>
    <col min="2" max="2" width="17.6640625" customWidth="1"/>
    <col min="3" max="7" width="12.5" customWidth="1"/>
    <col min="8" max="8" width="12.6640625" customWidth="1"/>
    <col min="9" max="9" width="14.1640625" customWidth="1"/>
    <col min="10" max="10" width="11.6640625" customWidth="1"/>
    <col min="11" max="11" width="13.33203125" customWidth="1"/>
    <col min="12" max="12" width="12.1640625" customWidth="1"/>
    <col min="13" max="17" width="13.33203125" customWidth="1"/>
    <col min="18" max="18" width="12.5" customWidth="1"/>
    <col min="19" max="23" width="13.33203125" customWidth="1"/>
    <col min="24" max="24" width="12.5" customWidth="1"/>
    <col min="25" max="25" width="13.5" customWidth="1"/>
  </cols>
  <sheetData>
    <row r="1" spans="1:25" ht="81" customHeight="1" x14ac:dyDescent="0.15">
      <c r="A1" s="220" t="s">
        <v>1079</v>
      </c>
      <c r="B1" s="220"/>
      <c r="C1" s="198" t="s">
        <v>87</v>
      </c>
      <c r="D1" s="199"/>
      <c r="E1" s="199"/>
      <c r="F1" s="199"/>
      <c r="G1" s="199"/>
      <c r="H1" s="1"/>
      <c r="I1" s="2"/>
      <c r="J1" s="1"/>
      <c r="K1" s="1"/>
      <c r="L1" s="1"/>
      <c r="M1" s="198" t="s">
        <v>0</v>
      </c>
      <c r="N1" s="199"/>
      <c r="O1" s="199"/>
      <c r="P1" s="199"/>
      <c r="Q1" s="199"/>
      <c r="R1" s="3"/>
      <c r="S1" s="198" t="s">
        <v>1</v>
      </c>
      <c r="T1" s="199"/>
      <c r="U1" s="199"/>
      <c r="V1" s="199"/>
      <c r="W1" s="199"/>
      <c r="X1" s="3"/>
      <c r="Y1" s="1"/>
    </row>
    <row r="2" spans="1:25" ht="28" x14ac:dyDescent="0.15">
      <c r="A2" s="2"/>
      <c r="B2" s="1" t="s">
        <v>1078</v>
      </c>
      <c r="C2" s="4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9" t="s">
        <v>7</v>
      </c>
      <c r="I2" s="2" t="s">
        <v>8</v>
      </c>
      <c r="J2" s="1" t="s">
        <v>9</v>
      </c>
      <c r="K2" s="10" t="s">
        <v>10</v>
      </c>
      <c r="L2" s="11" t="s">
        <v>11</v>
      </c>
      <c r="M2" s="4" t="s">
        <v>12</v>
      </c>
      <c r="N2" s="5" t="s">
        <v>13</v>
      </c>
      <c r="O2" s="6" t="s">
        <v>14</v>
      </c>
      <c r="P2" s="7" t="s">
        <v>15</v>
      </c>
      <c r="Q2" s="8" t="s">
        <v>16</v>
      </c>
      <c r="R2" s="12" t="s">
        <v>17</v>
      </c>
      <c r="S2" s="4" t="s">
        <v>18</v>
      </c>
      <c r="T2" s="5" t="s">
        <v>19</v>
      </c>
      <c r="U2" s="6" t="s">
        <v>20</v>
      </c>
      <c r="V2" s="7" t="s">
        <v>21</v>
      </c>
      <c r="W2" s="8" t="s">
        <v>22</v>
      </c>
      <c r="X2" s="12" t="s">
        <v>23</v>
      </c>
      <c r="Y2" s="1" t="s">
        <v>24</v>
      </c>
    </row>
    <row r="3" spans="1:25" ht="13" x14ac:dyDescent="0.15">
      <c r="A3" s="13" t="s">
        <v>52</v>
      </c>
      <c r="B3" s="14" t="s">
        <v>88</v>
      </c>
      <c r="C3" s="15">
        <v>1167.6199999999999</v>
      </c>
      <c r="D3" s="15">
        <v>700.11</v>
      </c>
      <c r="E3" s="16">
        <v>583.23</v>
      </c>
      <c r="F3" s="16">
        <v>1193.56</v>
      </c>
      <c r="G3" s="17">
        <v>1167.6199999999999</v>
      </c>
      <c r="H3" s="18">
        <v>4812.1399999999994</v>
      </c>
      <c r="I3" s="16">
        <v>48805.436000000002</v>
      </c>
      <c r="J3" s="14" t="s">
        <v>89</v>
      </c>
      <c r="K3" s="19">
        <v>9.8598443009504086E-2</v>
      </c>
      <c r="L3" s="20">
        <v>7</v>
      </c>
      <c r="M3" s="21">
        <v>9.77</v>
      </c>
      <c r="N3" s="21">
        <v>5.86</v>
      </c>
      <c r="O3" s="21">
        <v>4.88</v>
      </c>
      <c r="P3" s="21">
        <v>9.99</v>
      </c>
      <c r="Q3" s="21">
        <v>9.77</v>
      </c>
      <c r="R3" s="22">
        <v>40.269999999999996</v>
      </c>
      <c r="S3" s="23">
        <v>9.99</v>
      </c>
      <c r="T3" s="23">
        <v>5.99</v>
      </c>
      <c r="U3" s="23">
        <v>4.99</v>
      </c>
      <c r="V3" s="23">
        <v>10.210000000000001</v>
      </c>
      <c r="W3" s="23">
        <v>9.99</v>
      </c>
      <c r="X3" s="24">
        <v>41.17</v>
      </c>
      <c r="Y3" s="25">
        <v>28</v>
      </c>
    </row>
    <row r="4" spans="1:25" ht="13" x14ac:dyDescent="0.15">
      <c r="A4" s="13" t="s">
        <v>83</v>
      </c>
      <c r="B4" s="14" t="s">
        <v>90</v>
      </c>
      <c r="C4" s="15">
        <v>799</v>
      </c>
      <c r="D4" s="15">
        <v>319</v>
      </c>
      <c r="E4" s="16">
        <v>279</v>
      </c>
      <c r="F4" s="16">
        <v>1491.95</v>
      </c>
      <c r="G4" s="17">
        <v>599</v>
      </c>
      <c r="H4" s="18">
        <v>3487.95</v>
      </c>
      <c r="I4" s="16">
        <v>51329.69</v>
      </c>
      <c r="J4" s="14" t="s">
        <v>91</v>
      </c>
      <c r="K4" s="19">
        <v>6.795190074204617E-2</v>
      </c>
      <c r="L4" s="20">
        <v>14</v>
      </c>
      <c r="M4" s="21">
        <v>5.35</v>
      </c>
      <c r="N4" s="21">
        <v>2.14</v>
      </c>
      <c r="O4" s="21">
        <v>1.87</v>
      </c>
      <c r="P4" s="21">
        <v>9.99</v>
      </c>
      <c r="Q4" s="21">
        <v>4.01</v>
      </c>
      <c r="R4" s="22">
        <v>23.36</v>
      </c>
      <c r="S4" s="23">
        <v>5.47</v>
      </c>
      <c r="T4" s="23">
        <v>2.1800000000000002</v>
      </c>
      <c r="U4" s="23">
        <v>1.91</v>
      </c>
      <c r="V4" s="23">
        <v>10.210000000000001</v>
      </c>
      <c r="W4" s="23">
        <v>4.0999999999999996</v>
      </c>
      <c r="X4" s="24">
        <v>23.870000000000005</v>
      </c>
      <c r="Y4" s="25">
        <v>59</v>
      </c>
    </row>
    <row r="5" spans="1:25" ht="13" x14ac:dyDescent="0.15">
      <c r="A5" s="13" t="s">
        <v>57</v>
      </c>
      <c r="B5" s="14" t="s">
        <v>92</v>
      </c>
      <c r="C5" s="15">
        <v>16.989999999999998</v>
      </c>
      <c r="D5" s="15">
        <v>6.99</v>
      </c>
      <c r="E5" s="16">
        <v>11.99</v>
      </c>
      <c r="F5" s="16">
        <v>15.54</v>
      </c>
      <c r="G5" s="17">
        <v>10.95</v>
      </c>
      <c r="H5" s="18">
        <v>62.459999999999994</v>
      </c>
      <c r="I5" s="16">
        <v>5998.53</v>
      </c>
      <c r="J5" s="14" t="s">
        <v>93</v>
      </c>
      <c r="K5" s="19">
        <v>1.0412551075013378E-2</v>
      </c>
      <c r="L5" s="20">
        <v>59</v>
      </c>
      <c r="M5" s="21">
        <v>10.92</v>
      </c>
      <c r="N5" s="21">
        <v>4.49</v>
      </c>
      <c r="O5" s="21">
        <v>7.71</v>
      </c>
      <c r="P5" s="21">
        <v>9.99</v>
      </c>
      <c r="Q5" s="21">
        <v>7.04</v>
      </c>
      <c r="R5" s="22">
        <v>40.15</v>
      </c>
      <c r="S5" s="23">
        <v>11.07</v>
      </c>
      <c r="T5" s="23">
        <v>4.55</v>
      </c>
      <c r="U5" s="23">
        <v>7.81</v>
      </c>
      <c r="V5" s="23">
        <v>10.210000000000001</v>
      </c>
      <c r="W5" s="23">
        <v>7.13</v>
      </c>
      <c r="X5" s="24">
        <v>40.770000000000003</v>
      </c>
      <c r="Y5" s="25">
        <v>33</v>
      </c>
    </row>
    <row r="6" spans="1:25" ht="13" x14ac:dyDescent="0.15">
      <c r="A6" s="13" t="s">
        <v>28</v>
      </c>
      <c r="B6" s="14" t="s">
        <v>94</v>
      </c>
      <c r="C6" s="15">
        <v>12.99</v>
      </c>
      <c r="D6" s="15">
        <v>7.99</v>
      </c>
      <c r="E6" s="16">
        <v>9.99</v>
      </c>
      <c r="F6" s="16">
        <v>10.210000000000001</v>
      </c>
      <c r="G6" s="17">
        <v>9.99</v>
      </c>
      <c r="H6" s="18">
        <v>51.17</v>
      </c>
      <c r="I6" s="16">
        <v>2393</v>
      </c>
      <c r="J6" s="14" t="s">
        <v>85</v>
      </c>
      <c r="K6" s="19">
        <v>2.1383201002925199E-2</v>
      </c>
      <c r="L6" s="20">
        <v>41</v>
      </c>
      <c r="M6" s="21">
        <v>12.71</v>
      </c>
      <c r="N6" s="21">
        <v>7.82</v>
      </c>
      <c r="O6" s="21">
        <v>9.77</v>
      </c>
      <c r="P6" s="21">
        <v>9.99</v>
      </c>
      <c r="Q6" s="21">
        <v>9.77</v>
      </c>
      <c r="R6" s="22">
        <v>50.06</v>
      </c>
      <c r="S6" s="23">
        <v>12.99</v>
      </c>
      <c r="T6" s="23">
        <v>7.99</v>
      </c>
      <c r="U6" s="23">
        <v>9.99</v>
      </c>
      <c r="V6" s="23">
        <v>10.210000000000001</v>
      </c>
      <c r="W6" s="23">
        <v>9.99</v>
      </c>
      <c r="X6" s="24">
        <v>51.17</v>
      </c>
      <c r="Y6" s="25">
        <v>4</v>
      </c>
    </row>
    <row r="7" spans="1:25" ht="13" x14ac:dyDescent="0.15">
      <c r="A7" s="13" t="s">
        <v>53</v>
      </c>
      <c r="B7" s="14" t="s">
        <v>95</v>
      </c>
      <c r="C7" s="15">
        <v>19.54</v>
      </c>
      <c r="D7" s="15">
        <v>11.72</v>
      </c>
      <c r="E7" s="16">
        <v>9.76</v>
      </c>
      <c r="F7" s="16">
        <v>20</v>
      </c>
      <c r="G7" s="17">
        <v>19.54</v>
      </c>
      <c r="H7" s="18">
        <v>80.56</v>
      </c>
      <c r="I7" s="16">
        <v>1126</v>
      </c>
      <c r="J7" s="14" t="s">
        <v>96</v>
      </c>
      <c r="K7" s="19">
        <v>7.1545293072824159E-2</v>
      </c>
      <c r="L7" s="20">
        <v>13</v>
      </c>
      <c r="M7" s="21">
        <v>9.77</v>
      </c>
      <c r="N7" s="21">
        <v>5.86</v>
      </c>
      <c r="O7" s="21">
        <v>4.88</v>
      </c>
      <c r="P7" s="21">
        <v>9.99</v>
      </c>
      <c r="Q7" s="21">
        <v>9.77</v>
      </c>
      <c r="R7" s="22">
        <v>40.269999999999996</v>
      </c>
      <c r="S7" s="23">
        <v>9.99</v>
      </c>
      <c r="T7" s="23">
        <v>5.99</v>
      </c>
      <c r="U7" s="23">
        <v>4.99</v>
      </c>
      <c r="V7" s="23">
        <v>10.210000000000001</v>
      </c>
      <c r="W7" s="23">
        <v>9.99</v>
      </c>
      <c r="X7" s="24">
        <v>41.17</v>
      </c>
      <c r="Y7" s="25">
        <v>28</v>
      </c>
    </row>
    <row r="8" spans="1:25" ht="13" x14ac:dyDescent="0.15">
      <c r="A8" s="13" t="s">
        <v>77</v>
      </c>
      <c r="B8" s="14" t="s">
        <v>97</v>
      </c>
      <c r="C8" s="15">
        <v>39.9</v>
      </c>
      <c r="D8" s="15">
        <v>14.9</v>
      </c>
      <c r="E8" s="16">
        <v>19.899999999999999</v>
      </c>
      <c r="F8" s="16">
        <v>52.6</v>
      </c>
      <c r="G8" s="17">
        <v>29.99</v>
      </c>
      <c r="H8" s="18">
        <v>157.29</v>
      </c>
      <c r="I8" s="16">
        <v>2419.08</v>
      </c>
      <c r="J8" s="14" t="s">
        <v>98</v>
      </c>
      <c r="K8" s="19">
        <v>6.5020586338608063E-2</v>
      </c>
      <c r="L8" s="20">
        <v>18</v>
      </c>
      <c r="M8" s="21">
        <v>7.58</v>
      </c>
      <c r="N8" s="21">
        <v>2.83</v>
      </c>
      <c r="O8" s="21">
        <v>3.78</v>
      </c>
      <c r="P8" s="21">
        <v>9.99</v>
      </c>
      <c r="Q8" s="21">
        <v>5.7</v>
      </c>
      <c r="R8" s="22">
        <v>29.88</v>
      </c>
      <c r="S8" s="23">
        <v>7.74</v>
      </c>
      <c r="T8" s="23">
        <v>2.89</v>
      </c>
      <c r="U8" s="23">
        <v>3.86</v>
      </c>
      <c r="V8" s="23">
        <v>10.210000000000001</v>
      </c>
      <c r="W8" s="23">
        <v>5.82</v>
      </c>
      <c r="X8" s="24">
        <v>30.520000000000003</v>
      </c>
      <c r="Y8" s="25">
        <v>53</v>
      </c>
    </row>
    <row r="9" spans="1:25" ht="13" x14ac:dyDescent="0.15">
      <c r="A9" s="13" t="s">
        <v>54</v>
      </c>
      <c r="B9" s="14" t="s">
        <v>99</v>
      </c>
      <c r="C9" s="15">
        <v>19.54</v>
      </c>
      <c r="D9" s="15">
        <v>11.72</v>
      </c>
      <c r="E9" s="16">
        <v>9.76</v>
      </c>
      <c r="F9" s="16">
        <v>19.97</v>
      </c>
      <c r="G9" s="17">
        <v>19.54</v>
      </c>
      <c r="H9" s="18">
        <v>80.53</v>
      </c>
      <c r="I9" s="16">
        <v>1342.45</v>
      </c>
      <c r="J9" s="14" t="s">
        <v>100</v>
      </c>
      <c r="K9" s="19">
        <v>5.9987336586092593E-2</v>
      </c>
      <c r="L9" s="20">
        <v>20</v>
      </c>
      <c r="M9" s="21">
        <v>9.77</v>
      </c>
      <c r="N9" s="21">
        <v>5.86</v>
      </c>
      <c r="O9" s="21">
        <v>4.88</v>
      </c>
      <c r="P9" s="21">
        <v>9.99</v>
      </c>
      <c r="Q9" s="21">
        <v>9.77</v>
      </c>
      <c r="R9" s="22">
        <v>40.269999999999996</v>
      </c>
      <c r="S9" s="23">
        <v>9.99</v>
      </c>
      <c r="T9" s="23">
        <v>5.99</v>
      </c>
      <c r="U9" s="23">
        <v>4.99</v>
      </c>
      <c r="V9" s="23">
        <v>10.210000000000001</v>
      </c>
      <c r="W9" s="23">
        <v>9.99</v>
      </c>
      <c r="X9" s="24">
        <v>41.17</v>
      </c>
      <c r="Y9" s="25">
        <v>28</v>
      </c>
    </row>
    <row r="10" spans="1:25" ht="13" x14ac:dyDescent="0.15">
      <c r="A10" s="13" t="s">
        <v>37</v>
      </c>
      <c r="B10" s="14" t="s">
        <v>101</v>
      </c>
      <c r="C10" s="15">
        <v>16.489999999999998</v>
      </c>
      <c r="D10" s="15">
        <v>9.99</v>
      </c>
      <c r="E10" s="16">
        <v>9.99</v>
      </c>
      <c r="F10" s="16">
        <v>13.73</v>
      </c>
      <c r="G10" s="17">
        <v>11.99</v>
      </c>
      <c r="H10" s="18">
        <v>62.190000000000005</v>
      </c>
      <c r="I10" s="16">
        <v>3838</v>
      </c>
      <c r="J10" s="14" t="s">
        <v>102</v>
      </c>
      <c r="K10" s="19">
        <v>1.6203751954142784E-2</v>
      </c>
      <c r="L10" s="20">
        <v>52</v>
      </c>
      <c r="M10" s="21">
        <v>12</v>
      </c>
      <c r="N10" s="21">
        <v>7.27</v>
      </c>
      <c r="O10" s="21">
        <v>7.27</v>
      </c>
      <c r="P10" s="21">
        <v>9.99</v>
      </c>
      <c r="Q10" s="21">
        <v>8.7200000000000006</v>
      </c>
      <c r="R10" s="22">
        <v>45.25</v>
      </c>
      <c r="S10" s="23">
        <v>12.26</v>
      </c>
      <c r="T10" s="23">
        <v>7.43</v>
      </c>
      <c r="U10" s="23">
        <v>7.43</v>
      </c>
      <c r="V10" s="23">
        <v>10.210000000000001</v>
      </c>
      <c r="W10" s="23">
        <v>8.92</v>
      </c>
      <c r="X10" s="24">
        <v>46.25</v>
      </c>
      <c r="Y10" s="25">
        <v>13</v>
      </c>
    </row>
    <row r="11" spans="1:25" ht="13" x14ac:dyDescent="0.15">
      <c r="A11" s="13" t="s">
        <v>68</v>
      </c>
      <c r="B11" s="14" t="s">
        <v>103</v>
      </c>
      <c r="C11" s="15">
        <v>8320</v>
      </c>
      <c r="D11" s="15">
        <v>4990</v>
      </c>
      <c r="E11" s="16">
        <v>4150</v>
      </c>
      <c r="F11" s="16">
        <v>9448.36</v>
      </c>
      <c r="G11" s="17">
        <v>5990</v>
      </c>
      <c r="H11" s="18">
        <v>32898.36</v>
      </c>
      <c r="I11" s="16">
        <v>681039</v>
      </c>
      <c r="J11" s="14" t="s">
        <v>104</v>
      </c>
      <c r="K11" s="19">
        <v>4.830613224793294E-2</v>
      </c>
      <c r="L11" s="20">
        <v>23</v>
      </c>
      <c r="M11" s="21">
        <v>8.8000000000000007</v>
      </c>
      <c r="N11" s="21">
        <v>5.28</v>
      </c>
      <c r="O11" s="21">
        <v>4.3899999999999997</v>
      </c>
      <c r="P11" s="21">
        <v>9.99</v>
      </c>
      <c r="Q11" s="21">
        <v>6.33</v>
      </c>
      <c r="R11" s="22">
        <v>34.79</v>
      </c>
      <c r="S11" s="23">
        <v>8.99</v>
      </c>
      <c r="T11" s="23">
        <v>5.39</v>
      </c>
      <c r="U11" s="23">
        <v>4.4800000000000004</v>
      </c>
      <c r="V11" s="23">
        <v>10.210000000000001</v>
      </c>
      <c r="W11" s="23">
        <v>6.47</v>
      </c>
      <c r="X11" s="24">
        <v>35.54</v>
      </c>
      <c r="Y11" s="25">
        <v>44</v>
      </c>
    </row>
    <row r="12" spans="1:25" ht="13" x14ac:dyDescent="0.15">
      <c r="A12" s="13" t="s">
        <v>80</v>
      </c>
      <c r="B12" s="14" t="s">
        <v>105</v>
      </c>
      <c r="C12" s="15">
        <v>26900</v>
      </c>
      <c r="D12" s="28">
        <v>17900</v>
      </c>
      <c r="E12" s="16">
        <v>14900</v>
      </c>
      <c r="F12" s="16">
        <v>45925.82</v>
      </c>
      <c r="G12" s="17">
        <v>19900</v>
      </c>
      <c r="H12" s="18">
        <v>125525.82</v>
      </c>
      <c r="I12" s="16">
        <v>1331475.9099999999</v>
      </c>
      <c r="J12" s="14" t="s">
        <v>106</v>
      </c>
      <c r="K12" s="19">
        <v>9.4275697410101861E-2</v>
      </c>
      <c r="L12" s="20">
        <v>9</v>
      </c>
      <c r="M12" s="21">
        <v>5.85</v>
      </c>
      <c r="N12" s="21">
        <v>3.89</v>
      </c>
      <c r="O12" s="21">
        <v>3.24</v>
      </c>
      <c r="P12" s="21">
        <v>9.99</v>
      </c>
      <c r="Q12" s="21">
        <v>4.33</v>
      </c>
      <c r="R12" s="22">
        <v>27.299999999999997</v>
      </c>
      <c r="S12" s="23">
        <v>6.01</v>
      </c>
      <c r="T12" s="23">
        <v>4</v>
      </c>
      <c r="U12" s="23">
        <v>3.33</v>
      </c>
      <c r="V12" s="23">
        <v>10.210000000000001</v>
      </c>
      <c r="W12" s="23">
        <v>4.4400000000000004</v>
      </c>
      <c r="X12" s="24">
        <v>27.990000000000002</v>
      </c>
      <c r="Y12" s="25">
        <v>56</v>
      </c>
    </row>
    <row r="13" spans="1:25" ht="13" x14ac:dyDescent="0.15">
      <c r="A13" s="13" t="s">
        <v>46</v>
      </c>
      <c r="B13" s="14" t="s">
        <v>107</v>
      </c>
      <c r="C13" s="15">
        <v>75.8</v>
      </c>
      <c r="D13" s="15">
        <v>45.45</v>
      </c>
      <c r="E13" s="16">
        <v>45.45</v>
      </c>
      <c r="F13" s="16">
        <v>76.849999999999994</v>
      </c>
      <c r="G13" s="17">
        <v>75.8</v>
      </c>
      <c r="H13" s="18">
        <v>319.34999999999997</v>
      </c>
      <c r="I13" s="16">
        <v>7711</v>
      </c>
      <c r="J13" s="14" t="s">
        <v>108</v>
      </c>
      <c r="K13" s="19">
        <v>4.1414861885617944E-2</v>
      </c>
      <c r="L13" s="20">
        <v>30</v>
      </c>
      <c r="M13" s="21">
        <v>9.77</v>
      </c>
      <c r="N13" s="21">
        <v>5.86</v>
      </c>
      <c r="O13" s="21">
        <v>5.86</v>
      </c>
      <c r="P13" s="21">
        <v>9.99</v>
      </c>
      <c r="Q13" s="21">
        <v>9.77</v>
      </c>
      <c r="R13" s="22">
        <v>41.25</v>
      </c>
      <c r="S13" s="23">
        <v>9.99</v>
      </c>
      <c r="T13" s="23">
        <v>5.99</v>
      </c>
      <c r="U13" s="23">
        <v>5.99</v>
      </c>
      <c r="V13" s="23">
        <v>10.210000000000001</v>
      </c>
      <c r="W13" s="23">
        <v>9.99</v>
      </c>
      <c r="X13" s="24">
        <v>42.17</v>
      </c>
      <c r="Y13" s="25">
        <v>22</v>
      </c>
    </row>
    <row r="14" spans="1:25" ht="13" x14ac:dyDescent="0.15">
      <c r="A14" s="13" t="s">
        <v>41</v>
      </c>
      <c r="B14" s="14" t="s">
        <v>109</v>
      </c>
      <c r="C14" s="15">
        <v>259</v>
      </c>
      <c r="D14" s="15">
        <v>79</v>
      </c>
      <c r="E14" s="16">
        <v>146.99</v>
      </c>
      <c r="F14" s="16">
        <v>250.63</v>
      </c>
      <c r="G14" s="17">
        <v>339</v>
      </c>
      <c r="H14" s="18">
        <v>1074.6199999999999</v>
      </c>
      <c r="I14" s="16">
        <v>32231</v>
      </c>
      <c r="J14" s="14" t="s">
        <v>110</v>
      </c>
      <c r="K14" s="19">
        <v>3.3341193261146096E-2</v>
      </c>
      <c r="L14" s="20">
        <v>36</v>
      </c>
      <c r="M14" s="21">
        <v>10.32</v>
      </c>
      <c r="N14" s="21">
        <v>3.15</v>
      </c>
      <c r="O14" s="21">
        <v>5.86</v>
      </c>
      <c r="P14" s="21">
        <v>9.99</v>
      </c>
      <c r="Q14" s="21">
        <v>13.51</v>
      </c>
      <c r="R14" s="22">
        <v>42.83</v>
      </c>
      <c r="S14" s="23">
        <v>10.55</v>
      </c>
      <c r="T14" s="23">
        <v>3.22</v>
      </c>
      <c r="U14" s="23">
        <v>5.99</v>
      </c>
      <c r="V14" s="23">
        <v>10.210000000000001</v>
      </c>
      <c r="W14" s="23">
        <v>13.81</v>
      </c>
      <c r="X14" s="24">
        <v>43.78</v>
      </c>
      <c r="Y14" s="25">
        <v>17</v>
      </c>
    </row>
    <row r="15" spans="1:25" ht="13" x14ac:dyDescent="0.15">
      <c r="A15" s="13" t="s">
        <v>71</v>
      </c>
      <c r="B15" s="14" t="s">
        <v>111</v>
      </c>
      <c r="C15" s="15">
        <v>165</v>
      </c>
      <c r="D15" s="28">
        <v>29</v>
      </c>
      <c r="E15" s="16">
        <v>49.99</v>
      </c>
      <c r="F15" s="16">
        <v>196.29</v>
      </c>
      <c r="G15" s="17">
        <v>196.29</v>
      </c>
      <c r="H15" s="18">
        <v>636.56999999999994</v>
      </c>
      <c r="I15" s="16">
        <v>4196.5600000000004</v>
      </c>
      <c r="J15" s="14" t="s">
        <v>112</v>
      </c>
      <c r="K15" s="19">
        <v>0.15168852584021195</v>
      </c>
      <c r="L15" s="20">
        <v>4</v>
      </c>
      <c r="M15" s="21">
        <v>8.4</v>
      </c>
      <c r="N15" s="21">
        <v>1.48</v>
      </c>
      <c r="O15" s="21">
        <v>2.54</v>
      </c>
      <c r="P15" s="21">
        <v>9.99</v>
      </c>
      <c r="Q15" s="21">
        <v>9.99</v>
      </c>
      <c r="R15" s="22">
        <v>32.400000000000006</v>
      </c>
      <c r="S15" s="23">
        <v>8.58</v>
      </c>
      <c r="T15" s="23">
        <v>1.51</v>
      </c>
      <c r="U15" s="23">
        <v>2.6</v>
      </c>
      <c r="V15" s="23">
        <v>10.210000000000001</v>
      </c>
      <c r="W15" s="23">
        <v>10.210000000000001</v>
      </c>
      <c r="X15" s="24">
        <v>33.11</v>
      </c>
      <c r="Y15" s="25">
        <v>47</v>
      </c>
    </row>
    <row r="16" spans="1:25" ht="13" x14ac:dyDescent="0.15">
      <c r="A16" s="13" t="s">
        <v>42</v>
      </c>
      <c r="B16" s="14" t="s">
        <v>113</v>
      </c>
      <c r="C16" s="15">
        <v>9.99</v>
      </c>
      <c r="D16" s="15">
        <v>5.99</v>
      </c>
      <c r="E16" s="16">
        <v>6.99</v>
      </c>
      <c r="F16" s="16">
        <v>10.210000000000001</v>
      </c>
      <c r="G16" s="17">
        <v>9.99</v>
      </c>
      <c r="H16" s="18">
        <v>43.17</v>
      </c>
      <c r="I16" s="16">
        <v>1350.86</v>
      </c>
      <c r="J16" s="14" t="s">
        <v>85</v>
      </c>
      <c r="K16" s="19">
        <v>3.1957419717809396E-2</v>
      </c>
      <c r="L16" s="20">
        <v>38</v>
      </c>
      <c r="M16" s="21">
        <v>9.77</v>
      </c>
      <c r="N16" s="21">
        <v>5.86</v>
      </c>
      <c r="O16" s="21">
        <v>6.84</v>
      </c>
      <c r="P16" s="21">
        <v>9.99</v>
      </c>
      <c r="Q16" s="21">
        <v>9.77</v>
      </c>
      <c r="R16" s="22">
        <v>42.230000000000004</v>
      </c>
      <c r="S16" s="23">
        <v>9.99</v>
      </c>
      <c r="T16" s="23">
        <v>5.99</v>
      </c>
      <c r="U16" s="23">
        <v>6.99</v>
      </c>
      <c r="V16" s="23">
        <v>10.210000000000001</v>
      </c>
      <c r="W16" s="23">
        <v>9.99</v>
      </c>
      <c r="X16" s="24">
        <v>43.17</v>
      </c>
      <c r="Y16" s="25">
        <v>18</v>
      </c>
    </row>
    <row r="17" spans="1:25" ht="13" x14ac:dyDescent="0.15">
      <c r="A17" s="13" t="s">
        <v>32</v>
      </c>
      <c r="B17" s="14" t="s">
        <v>114</v>
      </c>
      <c r="C17" s="15">
        <v>11.99</v>
      </c>
      <c r="D17" s="15">
        <v>5.99</v>
      </c>
      <c r="E17" s="16">
        <v>10.99</v>
      </c>
      <c r="F17" s="16">
        <v>10.210000000000001</v>
      </c>
      <c r="G17" s="17">
        <v>9.99</v>
      </c>
      <c r="H17" s="18">
        <v>49.17</v>
      </c>
      <c r="I17" s="16">
        <v>2549.86</v>
      </c>
      <c r="J17" s="14" t="s">
        <v>85</v>
      </c>
      <c r="K17" s="19">
        <v>1.9283411638286022E-2</v>
      </c>
      <c r="L17" s="20">
        <v>45</v>
      </c>
      <c r="M17" s="21">
        <v>11.73</v>
      </c>
      <c r="N17" s="21">
        <v>5.86</v>
      </c>
      <c r="O17" s="21">
        <v>10.75</v>
      </c>
      <c r="P17" s="21">
        <v>9.99</v>
      </c>
      <c r="Q17" s="21">
        <v>9.77</v>
      </c>
      <c r="R17" s="22">
        <v>48.099999999999994</v>
      </c>
      <c r="S17" s="23">
        <v>11.99</v>
      </c>
      <c r="T17" s="23">
        <v>5.99</v>
      </c>
      <c r="U17" s="23">
        <v>10.99</v>
      </c>
      <c r="V17" s="23">
        <v>10.210000000000001</v>
      </c>
      <c r="W17" s="23">
        <v>9.99</v>
      </c>
      <c r="X17" s="24">
        <v>49.17</v>
      </c>
      <c r="Y17" s="25">
        <v>8</v>
      </c>
    </row>
    <row r="18" spans="1:25" ht="13" x14ac:dyDescent="0.15">
      <c r="A18" s="13" t="s">
        <v>31</v>
      </c>
      <c r="B18" s="14" t="s">
        <v>115</v>
      </c>
      <c r="C18" s="15">
        <v>13.49</v>
      </c>
      <c r="D18" s="15">
        <v>5.99</v>
      </c>
      <c r="E18" s="16">
        <v>9.99</v>
      </c>
      <c r="F18" s="16">
        <v>10.210000000000001</v>
      </c>
      <c r="G18" s="17">
        <v>9.99</v>
      </c>
      <c r="H18" s="18">
        <v>49.67</v>
      </c>
      <c r="I18" s="16">
        <v>2518</v>
      </c>
      <c r="J18" s="14" t="s">
        <v>85</v>
      </c>
      <c r="K18" s="19">
        <v>1.9725972994440032E-2</v>
      </c>
      <c r="L18" s="20">
        <v>43</v>
      </c>
      <c r="M18" s="21">
        <v>13.2</v>
      </c>
      <c r="N18" s="21">
        <v>5.86</v>
      </c>
      <c r="O18" s="21">
        <v>9.77</v>
      </c>
      <c r="P18" s="21">
        <v>9.99</v>
      </c>
      <c r="Q18" s="21">
        <v>9.77</v>
      </c>
      <c r="R18" s="22">
        <v>48.59</v>
      </c>
      <c r="S18" s="23">
        <v>13.49</v>
      </c>
      <c r="T18" s="23">
        <v>5.99</v>
      </c>
      <c r="U18" s="23">
        <v>9.99</v>
      </c>
      <c r="V18" s="23">
        <v>10.210000000000001</v>
      </c>
      <c r="W18" s="23">
        <v>9.99</v>
      </c>
      <c r="X18" s="24">
        <v>49.67</v>
      </c>
      <c r="Y18" s="25">
        <v>7</v>
      </c>
    </row>
    <row r="19" spans="1:25" ht="13" x14ac:dyDescent="0.15">
      <c r="A19" s="13" t="s">
        <v>29</v>
      </c>
      <c r="B19" s="14" t="s">
        <v>116</v>
      </c>
      <c r="C19" s="15">
        <v>12.99</v>
      </c>
      <c r="D19" s="15">
        <v>7.99</v>
      </c>
      <c r="E19" s="16">
        <v>9.99</v>
      </c>
      <c r="F19" s="16">
        <v>10.210000000000001</v>
      </c>
      <c r="G19" s="17">
        <v>9.99</v>
      </c>
      <c r="H19" s="18">
        <v>51.17</v>
      </c>
      <c r="I19" s="16">
        <v>2632.94</v>
      </c>
      <c r="J19" s="14" t="s">
        <v>85</v>
      </c>
      <c r="K19" s="19">
        <v>1.9434548451540863E-2</v>
      </c>
      <c r="L19" s="20">
        <v>44</v>
      </c>
      <c r="M19" s="21">
        <v>12.71</v>
      </c>
      <c r="N19" s="21">
        <v>7.82</v>
      </c>
      <c r="O19" s="21">
        <v>9.77</v>
      </c>
      <c r="P19" s="21">
        <v>9.99</v>
      </c>
      <c r="Q19" s="21">
        <v>9.77</v>
      </c>
      <c r="R19" s="22">
        <v>50.06</v>
      </c>
      <c r="S19" s="23">
        <v>12.99</v>
      </c>
      <c r="T19" s="23">
        <v>7.99</v>
      </c>
      <c r="U19" s="23">
        <v>9.99</v>
      </c>
      <c r="V19" s="23">
        <v>10.210000000000001</v>
      </c>
      <c r="W19" s="23">
        <v>9.99</v>
      </c>
      <c r="X19" s="24">
        <v>51.17</v>
      </c>
      <c r="Y19" s="25">
        <v>4</v>
      </c>
    </row>
    <row r="20" spans="1:25" ht="13" x14ac:dyDescent="0.15">
      <c r="A20" s="13" t="s">
        <v>40</v>
      </c>
      <c r="B20" s="14" t="s">
        <v>117</v>
      </c>
      <c r="C20" s="15">
        <v>10.99</v>
      </c>
      <c r="D20" s="15">
        <v>5.99</v>
      </c>
      <c r="E20" s="16">
        <v>6.99</v>
      </c>
      <c r="F20" s="16">
        <v>10.210000000000001</v>
      </c>
      <c r="G20" s="17">
        <v>9.99</v>
      </c>
      <c r="H20" s="18">
        <v>44.17</v>
      </c>
      <c r="I20" s="16">
        <v>934</v>
      </c>
      <c r="J20" s="14" t="s">
        <v>85</v>
      </c>
      <c r="K20" s="19">
        <v>4.7291220556745187E-2</v>
      </c>
      <c r="L20" s="20">
        <v>25</v>
      </c>
      <c r="M20" s="21">
        <v>10.75</v>
      </c>
      <c r="N20" s="21">
        <v>5.86</v>
      </c>
      <c r="O20" s="21">
        <v>6.84</v>
      </c>
      <c r="P20" s="21">
        <v>9.99</v>
      </c>
      <c r="Q20" s="21">
        <v>9.77</v>
      </c>
      <c r="R20" s="22">
        <v>43.209999999999994</v>
      </c>
      <c r="S20" s="23">
        <v>10.99</v>
      </c>
      <c r="T20" s="23">
        <v>5.99</v>
      </c>
      <c r="U20" s="23">
        <v>6.99</v>
      </c>
      <c r="V20" s="23">
        <v>10.210000000000001</v>
      </c>
      <c r="W20" s="23">
        <v>9.99</v>
      </c>
      <c r="X20" s="24">
        <v>44.17</v>
      </c>
      <c r="Y20" s="25">
        <v>16</v>
      </c>
    </row>
    <row r="21" spans="1:25" ht="13" x14ac:dyDescent="0.15">
      <c r="A21" s="13" t="s">
        <v>65</v>
      </c>
      <c r="B21" s="14" t="s">
        <v>118</v>
      </c>
      <c r="C21" s="15">
        <v>78</v>
      </c>
      <c r="D21" s="15">
        <v>47.02</v>
      </c>
      <c r="E21" s="16">
        <v>58</v>
      </c>
      <c r="F21" s="16">
        <v>78.42</v>
      </c>
      <c r="G21" s="17">
        <v>29</v>
      </c>
      <c r="H21" s="18">
        <v>290.44</v>
      </c>
      <c r="I21" s="16">
        <v>16138</v>
      </c>
      <c r="J21" s="14" t="s">
        <v>119</v>
      </c>
      <c r="K21" s="19">
        <v>1.7997273515925144E-2</v>
      </c>
      <c r="L21" s="20">
        <v>47</v>
      </c>
      <c r="M21" s="21">
        <v>9.94</v>
      </c>
      <c r="N21" s="21">
        <v>5.99</v>
      </c>
      <c r="O21" s="21">
        <v>7.39</v>
      </c>
      <c r="P21" s="21">
        <v>9.99</v>
      </c>
      <c r="Q21" s="21">
        <v>3.69</v>
      </c>
      <c r="R21" s="22">
        <v>37</v>
      </c>
      <c r="S21" s="23">
        <v>10.16</v>
      </c>
      <c r="T21" s="23">
        <v>6.12</v>
      </c>
      <c r="U21" s="23">
        <v>7.55</v>
      </c>
      <c r="V21" s="23">
        <v>10.210000000000001</v>
      </c>
      <c r="W21" s="23">
        <v>3.78</v>
      </c>
      <c r="X21" s="24">
        <v>37.820000000000007</v>
      </c>
      <c r="Y21" s="25">
        <v>41</v>
      </c>
    </row>
    <row r="22" spans="1:25" ht="13" x14ac:dyDescent="0.15">
      <c r="A22" s="13" t="s">
        <v>72</v>
      </c>
      <c r="B22" s="14" t="s">
        <v>120</v>
      </c>
      <c r="C22" s="15">
        <v>3490</v>
      </c>
      <c r="D22" s="15">
        <v>899</v>
      </c>
      <c r="E22" s="16">
        <v>2115.2399999999998</v>
      </c>
      <c r="F22" s="16">
        <v>4329.8900000000003</v>
      </c>
      <c r="G22" s="17">
        <v>3000</v>
      </c>
      <c r="H22" s="18">
        <v>13834.130000000001</v>
      </c>
      <c r="I22" s="16">
        <v>347200</v>
      </c>
      <c r="J22" s="14" t="s">
        <v>121</v>
      </c>
      <c r="K22" s="19">
        <v>3.9844844470046083E-2</v>
      </c>
      <c r="L22" s="20">
        <v>31</v>
      </c>
      <c r="M22" s="21">
        <v>8.0500000000000007</v>
      </c>
      <c r="N22" s="21">
        <v>2.0699999999999998</v>
      </c>
      <c r="O22" s="21">
        <v>4.88</v>
      </c>
      <c r="P22" s="21">
        <v>9.99</v>
      </c>
      <c r="Q22" s="21">
        <v>6.92</v>
      </c>
      <c r="R22" s="22">
        <v>31.910000000000004</v>
      </c>
      <c r="S22" s="23">
        <v>8.23</v>
      </c>
      <c r="T22" s="23">
        <v>2.12</v>
      </c>
      <c r="U22" s="23">
        <v>4.99</v>
      </c>
      <c r="V22" s="23">
        <v>10.210000000000001</v>
      </c>
      <c r="W22" s="23">
        <v>7.08</v>
      </c>
      <c r="X22" s="24">
        <v>32.630000000000003</v>
      </c>
      <c r="Y22" s="25">
        <v>48</v>
      </c>
    </row>
    <row r="23" spans="1:25" ht="13" x14ac:dyDescent="0.15">
      <c r="A23" s="13" t="s">
        <v>82</v>
      </c>
      <c r="B23" s="14" t="s">
        <v>122</v>
      </c>
      <c r="C23" s="15">
        <v>499</v>
      </c>
      <c r="D23" s="15">
        <v>179</v>
      </c>
      <c r="E23" s="16">
        <v>119</v>
      </c>
      <c r="F23" s="16">
        <v>820.35</v>
      </c>
      <c r="G23" s="17">
        <v>349</v>
      </c>
      <c r="H23" s="18">
        <v>1966.35</v>
      </c>
      <c r="I23" s="16">
        <v>42045.83</v>
      </c>
      <c r="J23" s="14" t="s">
        <v>123</v>
      </c>
      <c r="K23" s="19">
        <v>4.676682562813006E-2</v>
      </c>
      <c r="L23" s="20">
        <v>26</v>
      </c>
      <c r="M23" s="21">
        <v>6.08</v>
      </c>
      <c r="N23" s="21">
        <v>2.1800000000000002</v>
      </c>
      <c r="O23" s="21">
        <v>1.45</v>
      </c>
      <c r="P23" s="21">
        <v>9.99</v>
      </c>
      <c r="Q23" s="21">
        <v>4.25</v>
      </c>
      <c r="R23" s="22">
        <v>23.95</v>
      </c>
      <c r="S23" s="23">
        <v>6.21</v>
      </c>
      <c r="T23" s="23">
        <v>2.23</v>
      </c>
      <c r="U23" s="23">
        <v>1.48</v>
      </c>
      <c r="V23" s="23">
        <v>10.210000000000001</v>
      </c>
      <c r="W23" s="23">
        <v>4.3499999999999996</v>
      </c>
      <c r="X23" s="24">
        <v>24.480000000000004</v>
      </c>
      <c r="Y23" s="25">
        <v>58</v>
      </c>
    </row>
    <row r="24" spans="1:25" ht="13" x14ac:dyDescent="0.15">
      <c r="A24" s="13" t="s">
        <v>76</v>
      </c>
      <c r="B24" s="14" t="s">
        <v>124</v>
      </c>
      <c r="C24" s="15">
        <v>153000</v>
      </c>
      <c r="D24" s="28">
        <v>59000</v>
      </c>
      <c r="E24" s="16">
        <v>54990</v>
      </c>
      <c r="F24" s="16">
        <v>152820.16</v>
      </c>
      <c r="G24" s="17">
        <v>49999</v>
      </c>
      <c r="H24" s="18">
        <v>469809.16000000003</v>
      </c>
      <c r="I24" s="16">
        <v>2892537</v>
      </c>
      <c r="J24" s="14" t="s">
        <v>125</v>
      </c>
      <c r="K24" s="19">
        <v>0.16242114102602664</v>
      </c>
      <c r="L24" s="20">
        <v>3</v>
      </c>
      <c r="M24" s="21">
        <v>10</v>
      </c>
      <c r="N24" s="21">
        <v>3.86</v>
      </c>
      <c r="O24" s="21">
        <v>3.59</v>
      </c>
      <c r="P24" s="21">
        <v>9.99</v>
      </c>
      <c r="Q24" s="21">
        <v>3.27</v>
      </c>
      <c r="R24" s="22">
        <v>30.709999999999997</v>
      </c>
      <c r="S24" s="23">
        <v>10.210000000000001</v>
      </c>
      <c r="T24" s="23">
        <v>3.94</v>
      </c>
      <c r="U24" s="23">
        <v>3.67</v>
      </c>
      <c r="V24" s="23">
        <v>10.210000000000001</v>
      </c>
      <c r="W24" s="23">
        <v>3.34</v>
      </c>
      <c r="X24" s="24">
        <v>31.37</v>
      </c>
      <c r="Y24" s="25">
        <v>52</v>
      </c>
    </row>
    <row r="25" spans="1:25" ht="13" x14ac:dyDescent="0.15">
      <c r="A25" s="26" t="s">
        <v>30</v>
      </c>
      <c r="B25" s="14" t="s">
        <v>126</v>
      </c>
      <c r="C25" s="15">
        <v>14.99</v>
      </c>
      <c r="D25" s="15">
        <v>5.99</v>
      </c>
      <c r="E25" s="16">
        <v>9.99</v>
      </c>
      <c r="F25" s="16">
        <v>10.210000000000001</v>
      </c>
      <c r="G25" s="17">
        <v>9.99</v>
      </c>
      <c r="H25" s="18">
        <v>51.17</v>
      </c>
      <c r="I25" s="16">
        <v>2902</v>
      </c>
      <c r="J25" s="27" t="s">
        <v>85</v>
      </c>
      <c r="K25" s="19">
        <v>1.7632667126119918E-2</v>
      </c>
      <c r="L25" s="20">
        <v>50</v>
      </c>
      <c r="M25" s="21">
        <v>14.66</v>
      </c>
      <c r="N25" s="21">
        <v>5.86</v>
      </c>
      <c r="O25" s="21">
        <v>9.77</v>
      </c>
      <c r="P25" s="21">
        <v>9.99</v>
      </c>
      <c r="Q25" s="21">
        <v>9.77</v>
      </c>
      <c r="R25" s="22">
        <v>50.05</v>
      </c>
      <c r="S25" s="23">
        <v>14.99</v>
      </c>
      <c r="T25" s="23">
        <v>5.99</v>
      </c>
      <c r="U25" s="23">
        <v>9.99</v>
      </c>
      <c r="V25" s="23">
        <v>10.210000000000001</v>
      </c>
      <c r="W25" s="23">
        <v>9.99</v>
      </c>
      <c r="X25" s="24">
        <v>51.17</v>
      </c>
      <c r="Y25" s="25">
        <v>6</v>
      </c>
    </row>
    <row r="26" spans="1:25" ht="13" x14ac:dyDescent="0.15">
      <c r="A26" s="13" t="s">
        <v>38</v>
      </c>
      <c r="B26" s="14" t="s">
        <v>127</v>
      </c>
      <c r="C26" s="15">
        <v>54.9</v>
      </c>
      <c r="D26" s="15">
        <v>21.28</v>
      </c>
      <c r="E26" s="16">
        <v>19.899999999999999</v>
      </c>
      <c r="F26" s="16">
        <v>35.479999999999997</v>
      </c>
      <c r="G26" s="17">
        <v>27.99</v>
      </c>
      <c r="H26" s="18">
        <v>159.55000000000001</v>
      </c>
      <c r="I26" s="16">
        <v>9846</v>
      </c>
      <c r="J26" s="14" t="s">
        <v>128</v>
      </c>
      <c r="K26" s="19">
        <v>1.6204550071094861E-2</v>
      </c>
      <c r="L26" s="20">
        <v>51</v>
      </c>
      <c r="M26" s="21">
        <v>15.46</v>
      </c>
      <c r="N26" s="21">
        <v>5.99</v>
      </c>
      <c r="O26" s="21">
        <v>5.6</v>
      </c>
      <c r="P26" s="21">
        <v>9.99</v>
      </c>
      <c r="Q26" s="21">
        <v>7.88</v>
      </c>
      <c r="R26" s="22">
        <v>44.920000000000009</v>
      </c>
      <c r="S26" s="23">
        <v>15.79</v>
      </c>
      <c r="T26" s="23">
        <v>6.12</v>
      </c>
      <c r="U26" s="23">
        <v>5.72</v>
      </c>
      <c r="V26" s="23">
        <v>10.210000000000001</v>
      </c>
      <c r="W26" s="23">
        <v>8.0500000000000007</v>
      </c>
      <c r="X26" s="24">
        <v>45.89</v>
      </c>
      <c r="Y26" s="25">
        <v>14</v>
      </c>
    </row>
    <row r="27" spans="1:25" ht="13" x14ac:dyDescent="0.15">
      <c r="A27" s="13" t="s">
        <v>34</v>
      </c>
      <c r="B27" s="14" t="s">
        <v>129</v>
      </c>
      <c r="C27" s="15">
        <v>12.99</v>
      </c>
      <c r="D27" s="15">
        <v>4.99</v>
      </c>
      <c r="E27" s="16">
        <v>9.99</v>
      </c>
      <c r="F27" s="16">
        <v>10.210000000000001</v>
      </c>
      <c r="G27" s="17">
        <v>9.99</v>
      </c>
      <c r="H27" s="18">
        <v>48.17</v>
      </c>
      <c r="I27" s="16">
        <v>1307</v>
      </c>
      <c r="J27" s="14" t="s">
        <v>85</v>
      </c>
      <c r="K27" s="19">
        <v>3.6855394032134663E-2</v>
      </c>
      <c r="L27" s="20">
        <v>34</v>
      </c>
      <c r="M27" s="21">
        <v>12.71</v>
      </c>
      <c r="N27" s="21">
        <v>4.88</v>
      </c>
      <c r="O27" s="21">
        <v>9.77</v>
      </c>
      <c r="P27" s="21">
        <v>9.99</v>
      </c>
      <c r="Q27" s="21">
        <v>9.77</v>
      </c>
      <c r="R27" s="22">
        <v>47.120000000000005</v>
      </c>
      <c r="S27" s="23">
        <v>12.99</v>
      </c>
      <c r="T27" s="23">
        <v>4.99</v>
      </c>
      <c r="U27" s="23">
        <v>9.99</v>
      </c>
      <c r="V27" s="23">
        <v>10.210000000000001</v>
      </c>
      <c r="W27" s="23">
        <v>9.99</v>
      </c>
      <c r="X27" s="24">
        <v>48.17</v>
      </c>
      <c r="Y27" s="25">
        <v>9</v>
      </c>
    </row>
    <row r="28" spans="1:25" ht="13" x14ac:dyDescent="0.15">
      <c r="A28" s="13" t="s">
        <v>67</v>
      </c>
      <c r="B28" s="14" t="s">
        <v>130</v>
      </c>
      <c r="C28" s="15">
        <v>1490</v>
      </c>
      <c r="D28" s="15">
        <v>500</v>
      </c>
      <c r="E28" s="16">
        <v>980</v>
      </c>
      <c r="F28" s="16">
        <v>1453.7</v>
      </c>
      <c r="G28" s="17">
        <v>850</v>
      </c>
      <c r="H28" s="18">
        <v>5273.7</v>
      </c>
      <c r="I28" s="16">
        <v>264712</v>
      </c>
      <c r="J28" s="14" t="s">
        <v>131</v>
      </c>
      <c r="K28" s="19">
        <v>1.9922406237722505E-2</v>
      </c>
      <c r="L28" s="20">
        <v>42</v>
      </c>
      <c r="M28" s="21">
        <v>10.24</v>
      </c>
      <c r="N28" s="21">
        <v>3.44</v>
      </c>
      <c r="O28" s="21">
        <v>6.73</v>
      </c>
      <c r="P28" s="21">
        <v>9.99</v>
      </c>
      <c r="Q28" s="21">
        <v>5.84</v>
      </c>
      <c r="R28" s="22">
        <v>36.239999999999995</v>
      </c>
      <c r="S28" s="23">
        <v>10.47</v>
      </c>
      <c r="T28" s="23">
        <v>3.51</v>
      </c>
      <c r="U28" s="23">
        <v>6.88</v>
      </c>
      <c r="V28" s="23">
        <v>10.210000000000001</v>
      </c>
      <c r="W28" s="23">
        <v>5.97</v>
      </c>
      <c r="X28" s="24">
        <v>37.04</v>
      </c>
      <c r="Y28" s="25">
        <v>43</v>
      </c>
    </row>
    <row r="29" spans="1:25" ht="13" x14ac:dyDescent="0.15">
      <c r="A29" s="13" t="s">
        <v>49</v>
      </c>
      <c r="B29" s="14" t="s">
        <v>132</v>
      </c>
      <c r="C29" s="15">
        <v>4636.6499999999996</v>
      </c>
      <c r="D29" s="28">
        <v>2845.27</v>
      </c>
      <c r="E29" s="16">
        <v>2370.27</v>
      </c>
      <c r="F29" s="16">
        <v>4745.28</v>
      </c>
      <c r="G29" s="17">
        <v>4636.6499999999996</v>
      </c>
      <c r="H29" s="18">
        <v>19234.120000000003</v>
      </c>
      <c r="I29" s="16">
        <v>251401</v>
      </c>
      <c r="J29" s="14" t="s">
        <v>133</v>
      </c>
      <c r="K29" s="19">
        <v>7.6507730677284502E-2</v>
      </c>
      <c r="L29" s="20">
        <v>12</v>
      </c>
      <c r="M29" s="21">
        <v>9.77</v>
      </c>
      <c r="N29" s="21">
        <v>5.99</v>
      </c>
      <c r="O29" s="21">
        <v>4.99</v>
      </c>
      <c r="P29" s="21">
        <v>9.99</v>
      </c>
      <c r="Q29" s="21">
        <v>9.77</v>
      </c>
      <c r="R29" s="22">
        <v>40.510000000000005</v>
      </c>
      <c r="S29" s="23">
        <v>9.99</v>
      </c>
      <c r="T29" s="23">
        <v>6.12</v>
      </c>
      <c r="U29" s="23">
        <v>5.0999999999999996</v>
      </c>
      <c r="V29" s="23">
        <v>10.210000000000001</v>
      </c>
      <c r="W29" s="23">
        <v>9.99</v>
      </c>
      <c r="X29" s="24">
        <v>41.410000000000004</v>
      </c>
      <c r="Y29" s="25">
        <v>25</v>
      </c>
    </row>
    <row r="30" spans="1:25" ht="13" x14ac:dyDescent="0.15">
      <c r="A30" s="13" t="s">
        <v>44</v>
      </c>
      <c r="B30" s="14" t="s">
        <v>134</v>
      </c>
      <c r="C30" s="15">
        <v>9.99</v>
      </c>
      <c r="D30" s="15">
        <v>5.99</v>
      </c>
      <c r="E30" s="16">
        <v>6.99</v>
      </c>
      <c r="F30" s="16">
        <v>10.210000000000001</v>
      </c>
      <c r="G30" s="17">
        <v>9.99</v>
      </c>
      <c r="H30" s="18">
        <v>43.17</v>
      </c>
      <c r="I30" s="16">
        <v>997</v>
      </c>
      <c r="J30" s="14" t="s">
        <v>85</v>
      </c>
      <c r="K30" s="19">
        <v>4.3299899699097297E-2</v>
      </c>
      <c r="L30" s="20">
        <v>28</v>
      </c>
      <c r="M30" s="21">
        <v>9.77</v>
      </c>
      <c r="N30" s="21">
        <v>5.86</v>
      </c>
      <c r="O30" s="21">
        <v>6.84</v>
      </c>
      <c r="P30" s="21">
        <v>9.99</v>
      </c>
      <c r="Q30" s="21">
        <v>9.77</v>
      </c>
      <c r="R30" s="22">
        <v>42.230000000000004</v>
      </c>
      <c r="S30" s="23">
        <v>9.99</v>
      </c>
      <c r="T30" s="23">
        <v>5.99</v>
      </c>
      <c r="U30" s="23">
        <v>6.99</v>
      </c>
      <c r="V30" s="23">
        <v>10.210000000000001</v>
      </c>
      <c r="W30" s="23">
        <v>9.99</v>
      </c>
      <c r="X30" s="24">
        <v>43.17</v>
      </c>
      <c r="Y30" s="25">
        <v>18</v>
      </c>
    </row>
    <row r="31" spans="1:25" ht="13" x14ac:dyDescent="0.15">
      <c r="A31" s="13" t="s">
        <v>43</v>
      </c>
      <c r="B31" s="14" t="s">
        <v>135</v>
      </c>
      <c r="C31" s="15">
        <v>9.99</v>
      </c>
      <c r="D31" s="15">
        <v>5.99</v>
      </c>
      <c r="E31" s="16">
        <v>6.99</v>
      </c>
      <c r="F31" s="16">
        <v>10.210000000000001</v>
      </c>
      <c r="G31" s="17">
        <v>9.99</v>
      </c>
      <c r="H31" s="18">
        <v>43.17</v>
      </c>
      <c r="I31" s="16">
        <v>1116.22</v>
      </c>
      <c r="J31" s="14" t="s">
        <v>85</v>
      </c>
      <c r="K31" s="19">
        <v>3.8675171561161778E-2</v>
      </c>
      <c r="L31" s="20">
        <v>33</v>
      </c>
      <c r="M31" s="21">
        <v>9.77</v>
      </c>
      <c r="N31" s="21">
        <v>5.86</v>
      </c>
      <c r="O31" s="21">
        <v>6.84</v>
      </c>
      <c r="P31" s="21">
        <v>9.99</v>
      </c>
      <c r="Q31" s="21">
        <v>9.77</v>
      </c>
      <c r="R31" s="22">
        <v>42.230000000000004</v>
      </c>
      <c r="S31" s="23">
        <v>9.99</v>
      </c>
      <c r="T31" s="23">
        <v>5.99</v>
      </c>
      <c r="U31" s="23">
        <v>6.99</v>
      </c>
      <c r="V31" s="23">
        <v>10.210000000000001</v>
      </c>
      <c r="W31" s="23">
        <v>9.99</v>
      </c>
      <c r="X31" s="24">
        <v>43.17</v>
      </c>
      <c r="Y31" s="25">
        <v>18</v>
      </c>
    </row>
    <row r="32" spans="1:25" ht="13" x14ac:dyDescent="0.15">
      <c r="A32" s="13" t="s">
        <v>73</v>
      </c>
      <c r="B32" s="14" t="s">
        <v>136</v>
      </c>
      <c r="C32" s="15">
        <v>45</v>
      </c>
      <c r="D32" s="15">
        <v>25</v>
      </c>
      <c r="E32" s="16">
        <v>15.9</v>
      </c>
      <c r="F32" s="16">
        <v>46.48</v>
      </c>
      <c r="G32" s="17">
        <v>15</v>
      </c>
      <c r="H32" s="18">
        <v>147.38</v>
      </c>
      <c r="I32" s="16">
        <v>3810</v>
      </c>
      <c r="J32" s="14" t="s">
        <v>137</v>
      </c>
      <c r="K32" s="19">
        <v>3.8682414698162727E-2</v>
      </c>
      <c r="L32" s="20">
        <v>32</v>
      </c>
      <c r="M32" s="21">
        <v>9.67</v>
      </c>
      <c r="N32" s="21">
        <v>5.37</v>
      </c>
      <c r="O32" s="21">
        <v>3.42</v>
      </c>
      <c r="P32" s="21">
        <v>9.99</v>
      </c>
      <c r="Q32" s="21">
        <v>3.22</v>
      </c>
      <c r="R32" s="22">
        <v>31.67</v>
      </c>
      <c r="S32" s="23">
        <v>9.82</v>
      </c>
      <c r="T32" s="23">
        <v>5.45</v>
      </c>
      <c r="U32" s="23">
        <v>3.47</v>
      </c>
      <c r="V32" s="23">
        <v>10.210000000000001</v>
      </c>
      <c r="W32" s="23">
        <v>3.27</v>
      </c>
      <c r="X32" s="24">
        <v>32.22</v>
      </c>
      <c r="Y32" s="25">
        <v>49</v>
      </c>
    </row>
    <row r="33" spans="1:25" ht="13" x14ac:dyDescent="0.15">
      <c r="A33" s="13" t="s">
        <v>58</v>
      </c>
      <c r="B33" s="14" t="s">
        <v>138</v>
      </c>
      <c r="C33" s="15">
        <v>219</v>
      </c>
      <c r="D33" s="15">
        <v>99</v>
      </c>
      <c r="E33" s="16">
        <v>115</v>
      </c>
      <c r="F33" s="16">
        <v>200.31</v>
      </c>
      <c r="G33" s="17">
        <v>149</v>
      </c>
      <c r="H33" s="18">
        <v>782.31</v>
      </c>
      <c r="I33" s="16">
        <v>11594.61</v>
      </c>
      <c r="J33" s="14" t="s">
        <v>139</v>
      </c>
      <c r="K33" s="19">
        <v>6.7471868394021001E-2</v>
      </c>
      <c r="L33" s="20">
        <v>15</v>
      </c>
      <c r="M33" s="21">
        <v>10.92</v>
      </c>
      <c r="N33" s="21">
        <v>4.9400000000000004</v>
      </c>
      <c r="O33" s="21">
        <v>5.74</v>
      </c>
      <c r="P33" s="21">
        <v>9.99</v>
      </c>
      <c r="Q33" s="21">
        <v>7.43</v>
      </c>
      <c r="R33" s="22">
        <v>39.020000000000003</v>
      </c>
      <c r="S33" s="23">
        <v>11.17</v>
      </c>
      <c r="T33" s="23">
        <v>5.05</v>
      </c>
      <c r="U33" s="23">
        <v>5.86</v>
      </c>
      <c r="V33" s="23">
        <v>10.210000000000001</v>
      </c>
      <c r="W33" s="23">
        <v>7.6</v>
      </c>
      <c r="X33" s="24">
        <v>39.89</v>
      </c>
      <c r="Y33" s="25">
        <v>34</v>
      </c>
    </row>
    <row r="34" spans="1:25" ht="13" x14ac:dyDescent="0.15">
      <c r="A34" s="13" t="s">
        <v>51</v>
      </c>
      <c r="B34" s="14" t="s">
        <v>140</v>
      </c>
      <c r="C34" s="15">
        <v>190.07</v>
      </c>
      <c r="D34" s="15">
        <v>113.96</v>
      </c>
      <c r="E34" s="16">
        <v>97.16</v>
      </c>
      <c r="F34" s="16">
        <v>194.51</v>
      </c>
      <c r="G34" s="17">
        <v>190.07</v>
      </c>
      <c r="H34" s="18">
        <v>785.77</v>
      </c>
      <c r="I34" s="16">
        <v>8309.26</v>
      </c>
      <c r="J34" s="14" t="s">
        <v>141</v>
      </c>
      <c r="K34" s="19">
        <v>9.4565581050538791E-2</v>
      </c>
      <c r="L34" s="20">
        <v>8</v>
      </c>
      <c r="M34" s="21">
        <v>9.77</v>
      </c>
      <c r="N34" s="21">
        <v>5.86</v>
      </c>
      <c r="O34" s="21">
        <v>4.99</v>
      </c>
      <c r="P34" s="21">
        <v>9.99</v>
      </c>
      <c r="Q34" s="21">
        <v>9.77</v>
      </c>
      <c r="R34" s="22">
        <v>40.379999999999995</v>
      </c>
      <c r="S34" s="23">
        <v>9.99</v>
      </c>
      <c r="T34" s="23">
        <v>5.99</v>
      </c>
      <c r="U34" s="23">
        <v>5.0999999999999996</v>
      </c>
      <c r="V34" s="23">
        <v>10.210000000000001</v>
      </c>
      <c r="W34" s="23">
        <v>9.99</v>
      </c>
      <c r="X34" s="24">
        <v>41.28</v>
      </c>
      <c r="Y34" s="25">
        <v>27</v>
      </c>
    </row>
    <row r="35" spans="1:25" ht="13" x14ac:dyDescent="0.15">
      <c r="A35" s="13" t="s">
        <v>55</v>
      </c>
      <c r="B35" s="14" t="s">
        <v>142</v>
      </c>
      <c r="C35" s="15">
        <v>9.99</v>
      </c>
      <c r="D35" s="28">
        <v>5.99</v>
      </c>
      <c r="E35" s="16">
        <v>4.99</v>
      </c>
      <c r="F35" s="16">
        <v>10.210000000000001</v>
      </c>
      <c r="G35" s="17">
        <v>9.99</v>
      </c>
      <c r="H35" s="18">
        <v>41.17</v>
      </c>
      <c r="I35" s="16">
        <v>714</v>
      </c>
      <c r="J35" s="14" t="s">
        <v>85</v>
      </c>
      <c r="K35" s="19">
        <v>5.7661064425770313E-2</v>
      </c>
      <c r="L35" s="20">
        <v>21</v>
      </c>
      <c r="M35" s="21">
        <v>9.77</v>
      </c>
      <c r="N35" s="21">
        <v>5.86</v>
      </c>
      <c r="O35" s="21">
        <v>4.88</v>
      </c>
      <c r="P35" s="21">
        <v>9.99</v>
      </c>
      <c r="Q35" s="21">
        <v>9.77</v>
      </c>
      <c r="R35" s="22">
        <v>40.269999999999996</v>
      </c>
      <c r="S35" s="23">
        <v>9.99</v>
      </c>
      <c r="T35" s="29">
        <v>5.99</v>
      </c>
      <c r="U35" s="23">
        <v>4.99</v>
      </c>
      <c r="V35" s="23">
        <v>10.210000000000001</v>
      </c>
      <c r="W35" s="23">
        <v>9.99</v>
      </c>
      <c r="X35" s="24">
        <v>41.17</v>
      </c>
      <c r="Y35" s="25">
        <v>28</v>
      </c>
    </row>
    <row r="36" spans="1:25" ht="13" x14ac:dyDescent="0.15">
      <c r="A36" s="13" t="s">
        <v>39</v>
      </c>
      <c r="B36" s="14" t="s">
        <v>143</v>
      </c>
      <c r="C36" s="15">
        <v>11.99</v>
      </c>
      <c r="D36" s="15">
        <v>2.99</v>
      </c>
      <c r="E36" s="16">
        <v>9.99</v>
      </c>
      <c r="F36" s="16">
        <v>10.210000000000001</v>
      </c>
      <c r="G36" s="17">
        <v>9.99</v>
      </c>
      <c r="H36" s="18">
        <v>45.17</v>
      </c>
      <c r="I36" s="16">
        <v>2498</v>
      </c>
      <c r="J36" s="14" t="s">
        <v>85</v>
      </c>
      <c r="K36" s="19">
        <v>1.8082465972778225E-2</v>
      </c>
      <c r="L36" s="20">
        <v>46</v>
      </c>
      <c r="M36" s="21">
        <v>11.73</v>
      </c>
      <c r="N36" s="21">
        <v>2.92</v>
      </c>
      <c r="O36" s="21">
        <v>9.77</v>
      </c>
      <c r="P36" s="21">
        <v>9.99</v>
      </c>
      <c r="Q36" s="21">
        <v>9.77</v>
      </c>
      <c r="R36" s="22">
        <v>44.180000000000007</v>
      </c>
      <c r="S36" s="23">
        <v>11.99</v>
      </c>
      <c r="T36" s="23">
        <v>2.99</v>
      </c>
      <c r="U36" s="23">
        <v>9.99</v>
      </c>
      <c r="V36" s="23">
        <v>10.210000000000001</v>
      </c>
      <c r="W36" s="23">
        <v>9.99</v>
      </c>
      <c r="X36" s="24">
        <v>45.17</v>
      </c>
      <c r="Y36" s="25">
        <v>15</v>
      </c>
    </row>
    <row r="37" spans="1:25" ht="13" x14ac:dyDescent="0.15">
      <c r="A37" s="13" t="s">
        <v>48</v>
      </c>
      <c r="B37" s="14" t="s">
        <v>144</v>
      </c>
      <c r="C37" s="15">
        <v>18.489999999999998</v>
      </c>
      <c r="D37" s="15">
        <v>8</v>
      </c>
      <c r="E37" s="16">
        <v>14.99</v>
      </c>
      <c r="F37" s="16">
        <v>17.739999999999998</v>
      </c>
      <c r="G37" s="17">
        <v>12.95</v>
      </c>
      <c r="H37" s="18">
        <v>72.17</v>
      </c>
      <c r="I37" s="16">
        <v>4750.1499999999996</v>
      </c>
      <c r="J37" s="14" t="s">
        <v>145</v>
      </c>
      <c r="K37" s="19">
        <v>1.5193204425123419E-2</v>
      </c>
      <c r="L37" s="20">
        <v>53</v>
      </c>
      <c r="M37" s="21">
        <v>10.41</v>
      </c>
      <c r="N37" s="21">
        <v>4.5</v>
      </c>
      <c r="O37" s="21">
        <v>8.44</v>
      </c>
      <c r="P37" s="21">
        <v>9.99</v>
      </c>
      <c r="Q37" s="21">
        <v>7.29</v>
      </c>
      <c r="R37" s="22">
        <v>40.630000000000003</v>
      </c>
      <c r="S37" s="23">
        <v>10.61</v>
      </c>
      <c r="T37" s="23">
        <v>4.59</v>
      </c>
      <c r="U37" s="23">
        <v>8.6</v>
      </c>
      <c r="V37" s="23">
        <v>10.210000000000001</v>
      </c>
      <c r="W37" s="23">
        <v>7.43</v>
      </c>
      <c r="X37" s="24">
        <v>41.44</v>
      </c>
      <c r="Y37" s="25">
        <v>24</v>
      </c>
    </row>
    <row r="38" spans="1:25" ht="13" x14ac:dyDescent="0.15">
      <c r="A38" s="13" t="s">
        <v>66</v>
      </c>
      <c r="B38" s="14" t="s">
        <v>146</v>
      </c>
      <c r="C38" s="15">
        <v>3600</v>
      </c>
      <c r="D38" s="28">
        <v>2589.4699999999998</v>
      </c>
      <c r="E38" s="16">
        <v>900</v>
      </c>
      <c r="F38" s="16">
        <v>4318.66</v>
      </c>
      <c r="G38" s="17">
        <v>4318.66</v>
      </c>
      <c r="H38" s="18">
        <v>15726.789999999999</v>
      </c>
      <c r="I38" s="16">
        <v>70791</v>
      </c>
      <c r="J38" s="14" t="s">
        <v>147</v>
      </c>
      <c r="K38" s="19">
        <v>0.22215804268904238</v>
      </c>
      <c r="L38" s="20">
        <v>1</v>
      </c>
      <c r="M38" s="21">
        <v>8.33</v>
      </c>
      <c r="N38" s="21">
        <v>5.99</v>
      </c>
      <c r="O38" s="21">
        <v>2.08</v>
      </c>
      <c r="P38" s="21">
        <v>9.99</v>
      </c>
      <c r="Q38" s="21">
        <v>9.99</v>
      </c>
      <c r="R38" s="22">
        <v>36.380000000000003</v>
      </c>
      <c r="S38" s="23">
        <v>8.48</v>
      </c>
      <c r="T38" s="23">
        <v>6.12</v>
      </c>
      <c r="U38" s="23">
        <v>2.12</v>
      </c>
      <c r="V38" s="23">
        <v>10.210000000000001</v>
      </c>
      <c r="W38" s="23">
        <v>10.210000000000001</v>
      </c>
      <c r="X38" s="24">
        <v>37.14</v>
      </c>
      <c r="Y38" s="25">
        <v>42</v>
      </c>
    </row>
    <row r="39" spans="1:25" ht="13" x14ac:dyDescent="0.15">
      <c r="A39" s="13" t="s">
        <v>56</v>
      </c>
      <c r="B39" s="14" t="s">
        <v>148</v>
      </c>
      <c r="C39" s="15">
        <v>615.41</v>
      </c>
      <c r="D39" s="15">
        <v>369</v>
      </c>
      <c r="E39" s="16">
        <v>307.39999999999998</v>
      </c>
      <c r="F39" s="16">
        <v>629.41999999999996</v>
      </c>
      <c r="G39" s="17">
        <v>615.41</v>
      </c>
      <c r="H39" s="18">
        <v>2536.64</v>
      </c>
      <c r="I39" s="16">
        <v>31869</v>
      </c>
      <c r="J39" s="14" t="s">
        <v>149</v>
      </c>
      <c r="K39" s="19">
        <v>7.9595845492484857E-2</v>
      </c>
      <c r="L39" s="20">
        <v>11</v>
      </c>
      <c r="M39" s="21">
        <v>9.77</v>
      </c>
      <c r="N39" s="21">
        <v>5.86</v>
      </c>
      <c r="O39" s="21">
        <v>4.88</v>
      </c>
      <c r="P39" s="21">
        <v>9.99</v>
      </c>
      <c r="Q39" s="21">
        <v>9.77</v>
      </c>
      <c r="R39" s="22">
        <v>40.269999999999996</v>
      </c>
      <c r="S39" s="23">
        <v>9.99</v>
      </c>
      <c r="T39" s="23">
        <v>5.99</v>
      </c>
      <c r="U39" s="23">
        <v>4.99</v>
      </c>
      <c r="V39" s="23">
        <v>10.210000000000001</v>
      </c>
      <c r="W39" s="23">
        <v>9.99</v>
      </c>
      <c r="X39" s="24">
        <v>41.17</v>
      </c>
      <c r="Y39" s="25">
        <v>28</v>
      </c>
    </row>
    <row r="40" spans="1:25" ht="13" x14ac:dyDescent="0.15">
      <c r="A40" s="13" t="s">
        <v>35</v>
      </c>
      <c r="B40" s="14" t="s">
        <v>150</v>
      </c>
      <c r="C40" s="15">
        <v>109</v>
      </c>
      <c r="D40" s="15">
        <v>65</v>
      </c>
      <c r="E40" s="16">
        <v>119</v>
      </c>
      <c r="F40" s="16">
        <v>106.9</v>
      </c>
      <c r="G40" s="17">
        <v>99</v>
      </c>
      <c r="H40" s="18">
        <v>498.9</v>
      </c>
      <c r="I40" s="16">
        <v>37388</v>
      </c>
      <c r="J40" s="14" t="s">
        <v>151</v>
      </c>
      <c r="K40" s="19">
        <v>1.3343853642880068E-2</v>
      </c>
      <c r="L40" s="20">
        <v>56</v>
      </c>
      <c r="M40" s="21">
        <v>10.19</v>
      </c>
      <c r="N40" s="21">
        <v>6.07</v>
      </c>
      <c r="O40" s="21">
        <v>11.12</v>
      </c>
      <c r="P40" s="21">
        <v>9.99</v>
      </c>
      <c r="Q40" s="21">
        <v>9.25</v>
      </c>
      <c r="R40" s="22">
        <v>46.62</v>
      </c>
      <c r="S40" s="23">
        <v>10.41</v>
      </c>
      <c r="T40" s="23">
        <v>6.21</v>
      </c>
      <c r="U40" s="23">
        <v>11.36</v>
      </c>
      <c r="V40" s="23">
        <v>10.210000000000001</v>
      </c>
      <c r="W40" s="23">
        <v>9.4499999999999993</v>
      </c>
      <c r="X40" s="24">
        <v>47.64</v>
      </c>
      <c r="Y40" s="25">
        <v>11</v>
      </c>
    </row>
    <row r="41" spans="1:25" ht="13" x14ac:dyDescent="0.15">
      <c r="A41" s="13" t="s">
        <v>74</v>
      </c>
      <c r="B41" s="14" t="s">
        <v>152</v>
      </c>
      <c r="C41" s="15">
        <v>800</v>
      </c>
      <c r="D41" s="28">
        <v>1334.56</v>
      </c>
      <c r="E41" s="16">
        <v>299</v>
      </c>
      <c r="F41" s="16">
        <v>2225.75</v>
      </c>
      <c r="G41" s="17">
        <v>2225.75</v>
      </c>
      <c r="H41" s="18">
        <v>6885.0599999999995</v>
      </c>
      <c r="I41" s="16">
        <v>35322</v>
      </c>
      <c r="J41" s="14" t="s">
        <v>153</v>
      </c>
      <c r="K41" s="19">
        <v>0.19492271105826395</v>
      </c>
      <c r="L41" s="20">
        <v>2</v>
      </c>
      <c r="M41" s="21">
        <v>3.59</v>
      </c>
      <c r="N41" s="21">
        <v>5.99</v>
      </c>
      <c r="O41" s="21">
        <v>1.34</v>
      </c>
      <c r="P41" s="21">
        <v>9.99</v>
      </c>
      <c r="Q41" s="21">
        <v>9.99</v>
      </c>
      <c r="R41" s="22">
        <v>30.9</v>
      </c>
      <c r="S41" s="23">
        <v>3.67</v>
      </c>
      <c r="T41" s="23">
        <v>6.12</v>
      </c>
      <c r="U41" s="23">
        <v>1.37</v>
      </c>
      <c r="V41" s="23">
        <v>10.210000000000001</v>
      </c>
      <c r="W41" s="23">
        <v>10.210000000000001</v>
      </c>
      <c r="X41" s="24">
        <v>31.580000000000002</v>
      </c>
      <c r="Y41" s="25">
        <v>50</v>
      </c>
    </row>
    <row r="42" spans="1:25" ht="13" x14ac:dyDescent="0.15">
      <c r="A42" s="13" t="s">
        <v>63</v>
      </c>
      <c r="B42" s="14" t="s">
        <v>154</v>
      </c>
      <c r="C42" s="15">
        <v>34.9</v>
      </c>
      <c r="D42" s="15">
        <v>16.989999999999998</v>
      </c>
      <c r="E42" s="16">
        <v>18.899999999999999</v>
      </c>
      <c r="F42" s="16">
        <v>39.700000000000003</v>
      </c>
      <c r="G42" s="17">
        <v>39.700000000000003</v>
      </c>
      <c r="H42" s="18">
        <v>150.19</v>
      </c>
      <c r="I42" s="16">
        <v>1467</v>
      </c>
      <c r="J42" s="14" t="s">
        <v>155</v>
      </c>
      <c r="K42" s="19">
        <v>0.1023790047716428</v>
      </c>
      <c r="L42" s="20">
        <v>6</v>
      </c>
      <c r="M42" s="21">
        <v>8.7799999999999994</v>
      </c>
      <c r="N42" s="21">
        <v>4.2699999999999996</v>
      </c>
      <c r="O42" s="21">
        <v>4.76</v>
      </c>
      <c r="P42" s="21">
        <v>9.99</v>
      </c>
      <c r="Q42" s="21">
        <v>9.99</v>
      </c>
      <c r="R42" s="22">
        <v>37.79</v>
      </c>
      <c r="S42" s="23">
        <v>8.98</v>
      </c>
      <c r="T42" s="23">
        <v>4.37</v>
      </c>
      <c r="U42" s="23">
        <v>4.8600000000000003</v>
      </c>
      <c r="V42" s="23">
        <v>10.210000000000001</v>
      </c>
      <c r="W42" s="23">
        <v>10.210000000000001</v>
      </c>
      <c r="X42" s="24">
        <v>38.630000000000003</v>
      </c>
      <c r="Y42" s="25">
        <v>39</v>
      </c>
    </row>
    <row r="43" spans="1:25" ht="13" x14ac:dyDescent="0.15">
      <c r="A43" s="13" t="s">
        <v>81</v>
      </c>
      <c r="B43" s="14" t="s">
        <v>156</v>
      </c>
      <c r="C43" s="15">
        <v>459</v>
      </c>
      <c r="D43" s="15">
        <v>149</v>
      </c>
      <c r="E43" s="16">
        <v>149</v>
      </c>
      <c r="F43" s="16">
        <v>589.11</v>
      </c>
      <c r="G43" s="17">
        <v>119</v>
      </c>
      <c r="H43" s="18">
        <v>1465.1100000000001</v>
      </c>
      <c r="I43" s="16">
        <v>16401</v>
      </c>
      <c r="J43" s="14" t="s">
        <v>157</v>
      </c>
      <c r="K43" s="19">
        <v>8.9330528626303279E-2</v>
      </c>
      <c r="L43" s="20">
        <v>10</v>
      </c>
      <c r="M43" s="21">
        <v>7.78</v>
      </c>
      <c r="N43" s="21">
        <v>2.5299999999999998</v>
      </c>
      <c r="O43" s="21">
        <v>2.5299999999999998</v>
      </c>
      <c r="P43" s="21">
        <v>9.99</v>
      </c>
      <c r="Q43" s="21">
        <v>2.02</v>
      </c>
      <c r="R43" s="22">
        <v>24.849999999999998</v>
      </c>
      <c r="S43" s="23">
        <v>7.96</v>
      </c>
      <c r="T43" s="23">
        <v>2.59</v>
      </c>
      <c r="U43" s="23">
        <v>2.59</v>
      </c>
      <c r="V43" s="23">
        <v>10.210000000000001</v>
      </c>
      <c r="W43" s="23">
        <v>2.06</v>
      </c>
      <c r="X43" s="24">
        <v>25.41</v>
      </c>
      <c r="Y43" s="25">
        <v>57</v>
      </c>
    </row>
    <row r="44" spans="1:25" ht="13" x14ac:dyDescent="0.15">
      <c r="A44" s="13" t="s">
        <v>70</v>
      </c>
      <c r="B44" s="14" t="s">
        <v>158</v>
      </c>
      <c r="C44" s="15">
        <v>43</v>
      </c>
      <c r="D44" s="15">
        <v>10.99</v>
      </c>
      <c r="E44" s="16">
        <v>19.989999999999998</v>
      </c>
      <c r="F44" s="16">
        <v>49.46</v>
      </c>
      <c r="G44" s="17">
        <v>39.99</v>
      </c>
      <c r="H44" s="18">
        <v>163.43</v>
      </c>
      <c r="I44" s="16">
        <v>4949.7299999999996</v>
      </c>
      <c r="J44" s="14" t="s">
        <v>159</v>
      </c>
      <c r="K44" s="19">
        <v>3.301796259593958E-2</v>
      </c>
      <c r="L44" s="20">
        <v>37</v>
      </c>
      <c r="M44" s="21">
        <v>8.68</v>
      </c>
      <c r="N44" s="21">
        <v>2.2200000000000002</v>
      </c>
      <c r="O44" s="21">
        <v>4.04</v>
      </c>
      <c r="P44" s="21">
        <v>9.99</v>
      </c>
      <c r="Q44" s="21">
        <v>8.08</v>
      </c>
      <c r="R44" s="22">
        <v>33.01</v>
      </c>
      <c r="S44" s="23">
        <v>8.8800000000000008</v>
      </c>
      <c r="T44" s="23">
        <v>2.27</v>
      </c>
      <c r="U44" s="23">
        <v>4.13</v>
      </c>
      <c r="V44" s="23">
        <v>10.210000000000001</v>
      </c>
      <c r="W44" s="23">
        <v>8.26</v>
      </c>
      <c r="X44" s="24">
        <v>33.75</v>
      </c>
      <c r="Y44" s="25">
        <v>46</v>
      </c>
    </row>
    <row r="45" spans="1:25" ht="13" x14ac:dyDescent="0.15">
      <c r="A45" s="13" t="s">
        <v>45</v>
      </c>
      <c r="B45" s="14" t="s">
        <v>160</v>
      </c>
      <c r="C45" s="15">
        <v>11.99</v>
      </c>
      <c r="D45" s="15">
        <v>3.99</v>
      </c>
      <c r="E45" s="16">
        <v>6.99</v>
      </c>
      <c r="F45" s="16">
        <v>10.210000000000001</v>
      </c>
      <c r="G45" s="17">
        <v>9.99</v>
      </c>
      <c r="H45" s="18">
        <v>43.17</v>
      </c>
      <c r="I45" s="16">
        <v>1039</v>
      </c>
      <c r="J45" s="14" t="s">
        <v>85</v>
      </c>
      <c r="K45" s="19">
        <v>4.1549566891241577E-2</v>
      </c>
      <c r="L45" s="20">
        <v>29</v>
      </c>
      <c r="M45" s="21">
        <v>11.73</v>
      </c>
      <c r="N45" s="21">
        <v>3.9</v>
      </c>
      <c r="O45" s="21">
        <v>6.84</v>
      </c>
      <c r="P45" s="21">
        <v>9.99</v>
      </c>
      <c r="Q45" s="21">
        <v>9.77</v>
      </c>
      <c r="R45" s="22">
        <v>42.230000000000004</v>
      </c>
      <c r="S45" s="23">
        <v>11.99</v>
      </c>
      <c r="T45" s="23">
        <v>3.99</v>
      </c>
      <c r="U45" s="23">
        <v>6.99</v>
      </c>
      <c r="V45" s="23">
        <v>10.210000000000001</v>
      </c>
      <c r="W45" s="23">
        <v>9.99</v>
      </c>
      <c r="X45" s="24">
        <v>43.17</v>
      </c>
      <c r="Y45" s="25">
        <v>18</v>
      </c>
    </row>
    <row r="46" spans="1:25" ht="13" x14ac:dyDescent="0.15">
      <c r="A46" s="13" t="s">
        <v>64</v>
      </c>
      <c r="B46" s="14" t="s">
        <v>161</v>
      </c>
      <c r="C46" s="15">
        <v>49.43</v>
      </c>
      <c r="D46" s="15">
        <v>13.99</v>
      </c>
      <c r="E46" s="16">
        <v>24.69</v>
      </c>
      <c r="F46" s="16">
        <v>50.45</v>
      </c>
      <c r="G46" s="17">
        <v>49.43</v>
      </c>
      <c r="H46" s="18">
        <v>187.99</v>
      </c>
      <c r="I46" s="16">
        <v>3975</v>
      </c>
      <c r="J46" s="14" t="s">
        <v>162</v>
      </c>
      <c r="K46" s="19">
        <v>4.7293081761006293E-2</v>
      </c>
      <c r="L46" s="20">
        <v>24</v>
      </c>
      <c r="M46" s="21">
        <v>9.77</v>
      </c>
      <c r="N46" s="21">
        <v>2.77</v>
      </c>
      <c r="O46" s="21">
        <v>4.88</v>
      </c>
      <c r="P46" s="21">
        <v>9.99</v>
      </c>
      <c r="Q46" s="21">
        <v>9.77</v>
      </c>
      <c r="R46" s="22">
        <v>37.179999999999993</v>
      </c>
      <c r="S46" s="23">
        <v>9.99</v>
      </c>
      <c r="T46" s="23">
        <v>2.83</v>
      </c>
      <c r="U46" s="23">
        <v>4.99</v>
      </c>
      <c r="V46" s="23">
        <v>10.210000000000001</v>
      </c>
      <c r="W46" s="23">
        <v>9.99</v>
      </c>
      <c r="X46" s="24">
        <v>38.010000000000005</v>
      </c>
      <c r="Y46" s="25">
        <v>40</v>
      </c>
    </row>
    <row r="47" spans="1:25" ht="13" x14ac:dyDescent="0.15">
      <c r="A47" s="13" t="s">
        <v>59</v>
      </c>
      <c r="B47" s="14" t="s">
        <v>163</v>
      </c>
      <c r="C47" s="15">
        <v>43</v>
      </c>
      <c r="D47" s="15">
        <v>16</v>
      </c>
      <c r="E47" s="16">
        <v>19.989999999999998</v>
      </c>
      <c r="F47" s="16">
        <v>37.549999999999997</v>
      </c>
      <c r="G47" s="17">
        <v>29.99</v>
      </c>
      <c r="H47" s="18">
        <v>146.53</v>
      </c>
      <c r="I47" s="16">
        <v>9812</v>
      </c>
      <c r="J47" s="14" t="s">
        <v>164</v>
      </c>
      <c r="K47" s="19">
        <v>1.4933754586220954E-2</v>
      </c>
      <c r="L47" s="20">
        <v>55</v>
      </c>
      <c r="M47" s="21">
        <v>11.44</v>
      </c>
      <c r="N47" s="21">
        <v>4.26</v>
      </c>
      <c r="O47" s="21">
        <v>5.32</v>
      </c>
      <c r="P47" s="21">
        <v>9.99</v>
      </c>
      <c r="Q47" s="21">
        <v>7.98</v>
      </c>
      <c r="R47" s="22">
        <v>38.989999999999995</v>
      </c>
      <c r="S47" s="23">
        <v>11.69</v>
      </c>
      <c r="T47" s="23">
        <v>4.3499999999999996</v>
      </c>
      <c r="U47" s="23">
        <v>5.44</v>
      </c>
      <c r="V47" s="23">
        <v>10.210000000000001</v>
      </c>
      <c r="W47" s="23">
        <v>8.16</v>
      </c>
      <c r="X47" s="24">
        <v>39.85</v>
      </c>
      <c r="Y47" s="25">
        <v>35</v>
      </c>
    </row>
    <row r="48" spans="1:25" ht="13" x14ac:dyDescent="0.15">
      <c r="A48" s="13" t="s">
        <v>50</v>
      </c>
      <c r="B48" s="14" t="s">
        <v>165</v>
      </c>
      <c r="C48" s="15">
        <v>1197.94</v>
      </c>
      <c r="D48" s="15">
        <v>702.61</v>
      </c>
      <c r="E48" s="16">
        <v>585.30999999999995</v>
      </c>
      <c r="F48" s="16">
        <v>1197.94</v>
      </c>
      <c r="G48" s="17">
        <v>1171.79</v>
      </c>
      <c r="H48" s="18">
        <v>4855.59</v>
      </c>
      <c r="I48" s="16">
        <v>74302</v>
      </c>
      <c r="J48" s="14" t="s">
        <v>166</v>
      </c>
      <c r="K48" s="19">
        <v>6.5349384942531827E-2</v>
      </c>
      <c r="L48" s="20">
        <v>17</v>
      </c>
      <c r="M48" s="21">
        <v>9.99</v>
      </c>
      <c r="N48" s="21">
        <v>5.86</v>
      </c>
      <c r="O48" s="21">
        <v>4.88</v>
      </c>
      <c r="P48" s="21">
        <v>9.99</v>
      </c>
      <c r="Q48" s="21">
        <v>9.77</v>
      </c>
      <c r="R48" s="22">
        <v>40.489999999999995</v>
      </c>
      <c r="S48" s="23">
        <v>10.210000000000001</v>
      </c>
      <c r="T48" s="23">
        <v>5.99</v>
      </c>
      <c r="U48" s="23">
        <v>4.99</v>
      </c>
      <c r="V48" s="23">
        <v>10.210000000000001</v>
      </c>
      <c r="W48" s="23">
        <v>9.99</v>
      </c>
      <c r="X48" s="24">
        <v>41.390000000000008</v>
      </c>
      <c r="Y48" s="25">
        <v>26</v>
      </c>
    </row>
    <row r="49" spans="1:25" ht="13" x14ac:dyDescent="0.15">
      <c r="A49" s="13" t="s">
        <v>61</v>
      </c>
      <c r="B49" s="14" t="s">
        <v>167</v>
      </c>
      <c r="C49" s="15">
        <v>17.48</v>
      </c>
      <c r="D49" s="15">
        <v>2.99</v>
      </c>
      <c r="E49" s="16">
        <v>9.9</v>
      </c>
      <c r="F49" s="16">
        <v>14.3</v>
      </c>
      <c r="G49" s="17">
        <v>9.99</v>
      </c>
      <c r="H49" s="18">
        <v>54.660000000000004</v>
      </c>
      <c r="I49" s="16">
        <v>4571</v>
      </c>
      <c r="J49" s="14" t="s">
        <v>168</v>
      </c>
      <c r="K49" s="19">
        <v>1.1957996062130825E-2</v>
      </c>
      <c r="L49" s="20">
        <v>57</v>
      </c>
      <c r="M49" s="21">
        <v>12.21</v>
      </c>
      <c r="N49" s="21">
        <v>2.09</v>
      </c>
      <c r="O49" s="21">
        <v>6.91</v>
      </c>
      <c r="P49" s="21">
        <v>9.99</v>
      </c>
      <c r="Q49" s="21">
        <v>6.98</v>
      </c>
      <c r="R49" s="22">
        <v>38.180000000000007</v>
      </c>
      <c r="S49" s="23">
        <v>12.48</v>
      </c>
      <c r="T49" s="23">
        <v>2.13</v>
      </c>
      <c r="U49" s="23">
        <v>7.07</v>
      </c>
      <c r="V49" s="23">
        <v>10.210000000000001</v>
      </c>
      <c r="W49" s="23">
        <v>7.13</v>
      </c>
      <c r="X49" s="24">
        <v>39.020000000000003</v>
      </c>
      <c r="Y49" s="25">
        <v>37</v>
      </c>
    </row>
    <row r="50" spans="1:25" ht="13" x14ac:dyDescent="0.15">
      <c r="A50" s="13" t="s">
        <v>47</v>
      </c>
      <c r="B50" s="14" t="s">
        <v>169</v>
      </c>
      <c r="C50" s="15">
        <v>9.99</v>
      </c>
      <c r="D50" s="15">
        <v>5.99</v>
      </c>
      <c r="E50" s="16">
        <v>5.99</v>
      </c>
      <c r="F50" s="16">
        <v>10.210000000000001</v>
      </c>
      <c r="G50" s="17">
        <v>9.99</v>
      </c>
      <c r="H50" s="18">
        <v>42.17</v>
      </c>
      <c r="I50" s="16">
        <v>948.13</v>
      </c>
      <c r="J50" s="14" t="s">
        <v>85</v>
      </c>
      <c r="K50" s="19">
        <v>4.4477023193022054E-2</v>
      </c>
      <c r="L50" s="20">
        <v>27</v>
      </c>
      <c r="M50" s="21">
        <v>9.77</v>
      </c>
      <c r="N50" s="21">
        <v>5.86</v>
      </c>
      <c r="O50" s="21">
        <v>5.86</v>
      </c>
      <c r="P50" s="21">
        <v>9.99</v>
      </c>
      <c r="Q50" s="21">
        <v>9.77</v>
      </c>
      <c r="R50" s="22">
        <v>41.25</v>
      </c>
      <c r="S50" s="23">
        <v>9.99</v>
      </c>
      <c r="T50" s="23">
        <v>5.99</v>
      </c>
      <c r="U50" s="23">
        <v>5.99</v>
      </c>
      <c r="V50" s="23">
        <v>10.210000000000001</v>
      </c>
      <c r="W50" s="23">
        <v>9.99</v>
      </c>
      <c r="X50" s="24">
        <v>42.17</v>
      </c>
      <c r="Y50" s="25">
        <v>22</v>
      </c>
    </row>
    <row r="51" spans="1:25" ht="13" x14ac:dyDescent="0.15">
      <c r="A51" s="13" t="s">
        <v>75</v>
      </c>
      <c r="B51" s="14" t="s">
        <v>170</v>
      </c>
      <c r="C51" s="15">
        <v>159</v>
      </c>
      <c r="D51" s="15">
        <v>79</v>
      </c>
      <c r="E51" s="16">
        <v>59.99</v>
      </c>
      <c r="F51" s="16">
        <v>180.29</v>
      </c>
      <c r="G51" s="17">
        <v>79</v>
      </c>
      <c r="H51" s="18">
        <v>557.28</v>
      </c>
      <c r="I51" s="16">
        <v>20089</v>
      </c>
      <c r="J51" s="14" t="s">
        <v>171</v>
      </c>
      <c r="K51" s="19">
        <v>2.7740554532331124E-2</v>
      </c>
      <c r="L51" s="20">
        <v>39</v>
      </c>
      <c r="M51" s="21">
        <v>8.81</v>
      </c>
      <c r="N51" s="21">
        <v>4.38</v>
      </c>
      <c r="O51" s="21">
        <v>3.32</v>
      </c>
      <c r="P51" s="21">
        <v>9.99</v>
      </c>
      <c r="Q51" s="21">
        <v>4.38</v>
      </c>
      <c r="R51" s="22">
        <v>30.88</v>
      </c>
      <c r="S51" s="23">
        <v>9</v>
      </c>
      <c r="T51" s="23">
        <v>4.47</v>
      </c>
      <c r="U51" s="23">
        <v>3.39</v>
      </c>
      <c r="V51" s="23">
        <v>10.210000000000001</v>
      </c>
      <c r="W51" s="23">
        <v>4.47</v>
      </c>
      <c r="X51" s="24">
        <v>31.54</v>
      </c>
      <c r="Y51" s="25">
        <v>51</v>
      </c>
    </row>
    <row r="52" spans="1:25" ht="13" x14ac:dyDescent="0.15">
      <c r="A52" s="13" t="s">
        <v>60</v>
      </c>
      <c r="B52" s="14" t="s">
        <v>172</v>
      </c>
      <c r="C52" s="15">
        <v>13500</v>
      </c>
      <c r="D52" s="15">
        <v>8554.51</v>
      </c>
      <c r="E52" s="16">
        <v>10900</v>
      </c>
      <c r="F52" s="16">
        <v>14267.03</v>
      </c>
      <c r="G52" s="17">
        <v>7900</v>
      </c>
      <c r="H52" s="18">
        <v>55121.54</v>
      </c>
      <c r="I52" s="16">
        <v>3110880</v>
      </c>
      <c r="J52" s="14" t="s">
        <v>173</v>
      </c>
      <c r="K52" s="19">
        <v>1.771895412230623E-2</v>
      </c>
      <c r="L52" s="20">
        <v>48</v>
      </c>
      <c r="M52" s="21">
        <v>9.4499999999999993</v>
      </c>
      <c r="N52" s="21">
        <v>5.99</v>
      </c>
      <c r="O52" s="21">
        <v>7.63</v>
      </c>
      <c r="P52" s="21">
        <v>9.99</v>
      </c>
      <c r="Q52" s="21">
        <v>5.53</v>
      </c>
      <c r="R52" s="22">
        <v>38.590000000000003</v>
      </c>
      <c r="S52" s="23">
        <v>9.67</v>
      </c>
      <c r="T52" s="23">
        <v>6.12</v>
      </c>
      <c r="U52" s="23">
        <v>7.81</v>
      </c>
      <c r="V52" s="23">
        <v>10.210000000000001</v>
      </c>
      <c r="W52" s="23">
        <v>5.66</v>
      </c>
      <c r="X52" s="24">
        <v>39.47</v>
      </c>
      <c r="Y52" s="25">
        <v>36</v>
      </c>
    </row>
    <row r="53" spans="1:25" ht="13" x14ac:dyDescent="0.15">
      <c r="A53" s="13" t="s">
        <v>33</v>
      </c>
      <c r="B53" s="14" t="s">
        <v>174</v>
      </c>
      <c r="C53" s="15">
        <v>12.99</v>
      </c>
      <c r="D53" s="15">
        <v>4.99</v>
      </c>
      <c r="E53" s="16">
        <v>9.99</v>
      </c>
      <c r="F53" s="16">
        <v>10.210000000000001</v>
      </c>
      <c r="G53" s="17">
        <v>9.99</v>
      </c>
      <c r="H53" s="18">
        <v>48.17</v>
      </c>
      <c r="I53" s="16">
        <v>1317.34</v>
      </c>
      <c r="J53" s="14" t="s">
        <v>85</v>
      </c>
      <c r="K53" s="19">
        <v>3.6566110495392233E-2</v>
      </c>
      <c r="L53" s="20">
        <v>35</v>
      </c>
      <c r="M53" s="21">
        <v>12.71</v>
      </c>
      <c r="N53" s="21">
        <v>4.88</v>
      </c>
      <c r="O53" s="21">
        <v>9.77</v>
      </c>
      <c r="P53" s="21">
        <v>9.99</v>
      </c>
      <c r="Q53" s="21">
        <v>9.77</v>
      </c>
      <c r="R53" s="22">
        <v>47.120000000000005</v>
      </c>
      <c r="S53" s="23">
        <v>12.99</v>
      </c>
      <c r="T53" s="23">
        <v>4.99</v>
      </c>
      <c r="U53" s="23">
        <v>9.99</v>
      </c>
      <c r="V53" s="23">
        <v>10.210000000000001</v>
      </c>
      <c r="W53" s="23">
        <v>9.99</v>
      </c>
      <c r="X53" s="24">
        <v>48.17</v>
      </c>
      <c r="Y53" s="25">
        <v>9</v>
      </c>
    </row>
    <row r="54" spans="1:25" ht="13" x14ac:dyDescent="0.15">
      <c r="A54" s="13" t="s">
        <v>36</v>
      </c>
      <c r="B54" s="14" t="s">
        <v>175</v>
      </c>
      <c r="C54" s="15">
        <v>129</v>
      </c>
      <c r="D54" s="15">
        <v>59</v>
      </c>
      <c r="E54" s="16">
        <v>109</v>
      </c>
      <c r="F54" s="16">
        <v>111.53</v>
      </c>
      <c r="G54" s="17">
        <v>99</v>
      </c>
      <c r="H54" s="18">
        <v>507.53</v>
      </c>
      <c r="I54" s="16">
        <v>28743</v>
      </c>
      <c r="J54" s="14" t="s">
        <v>176</v>
      </c>
      <c r="K54" s="19">
        <v>1.7657516612740492E-2</v>
      </c>
      <c r="L54" s="20">
        <v>49</v>
      </c>
      <c r="M54" s="21">
        <v>11.55</v>
      </c>
      <c r="N54" s="21">
        <v>5.28</v>
      </c>
      <c r="O54" s="21">
        <v>9.76</v>
      </c>
      <c r="P54" s="21">
        <v>9.99</v>
      </c>
      <c r="Q54" s="21">
        <v>8.8699999999999992</v>
      </c>
      <c r="R54" s="22">
        <v>45.45</v>
      </c>
      <c r="S54" s="23">
        <v>11.81</v>
      </c>
      <c r="T54" s="23">
        <v>5.4</v>
      </c>
      <c r="U54" s="23">
        <v>9.98</v>
      </c>
      <c r="V54" s="23">
        <v>10.210000000000001</v>
      </c>
      <c r="W54" s="23">
        <v>9.07</v>
      </c>
      <c r="X54" s="24">
        <v>46.470000000000006</v>
      </c>
      <c r="Y54" s="25">
        <v>12</v>
      </c>
    </row>
    <row r="55" spans="1:25" ht="13" x14ac:dyDescent="0.15">
      <c r="A55" s="13" t="s">
        <v>25</v>
      </c>
      <c r="B55" s="14" t="s">
        <v>177</v>
      </c>
      <c r="C55" s="15">
        <v>18.899999999999999</v>
      </c>
      <c r="D55" s="15">
        <v>9.99</v>
      </c>
      <c r="E55" s="16">
        <v>12.95</v>
      </c>
      <c r="F55" s="16">
        <v>9.92</v>
      </c>
      <c r="G55" s="17">
        <v>11.99</v>
      </c>
      <c r="H55" s="18">
        <v>63.750000000000007</v>
      </c>
      <c r="I55" s="16">
        <v>5378.85</v>
      </c>
      <c r="J55" s="14" t="s">
        <v>178</v>
      </c>
      <c r="K55" s="19">
        <v>1.1851975794082379E-2</v>
      </c>
      <c r="L55" s="20">
        <v>58</v>
      </c>
      <c r="M55" s="21">
        <v>19.04</v>
      </c>
      <c r="N55" s="21">
        <v>10.06</v>
      </c>
      <c r="O55" s="21">
        <v>13.04</v>
      </c>
      <c r="P55" s="21">
        <v>9.99</v>
      </c>
      <c r="Q55" s="21">
        <v>12.08</v>
      </c>
      <c r="R55" s="22">
        <v>64.210000000000008</v>
      </c>
      <c r="S55" s="23">
        <v>19.47</v>
      </c>
      <c r="T55" s="23">
        <v>10.29</v>
      </c>
      <c r="U55" s="23">
        <v>13.34</v>
      </c>
      <c r="V55" s="23">
        <v>10.210000000000001</v>
      </c>
      <c r="W55" s="23">
        <v>12.35</v>
      </c>
      <c r="X55" s="24">
        <v>65.66</v>
      </c>
      <c r="Y55" s="25">
        <v>1</v>
      </c>
    </row>
    <row r="56" spans="1:25" ht="13" x14ac:dyDescent="0.15">
      <c r="A56" s="13" t="s">
        <v>78</v>
      </c>
      <c r="B56" s="14" t="s">
        <v>179</v>
      </c>
      <c r="C56" s="15">
        <v>349</v>
      </c>
      <c r="D56" s="15">
        <v>149</v>
      </c>
      <c r="E56" s="16">
        <v>129</v>
      </c>
      <c r="F56" s="16">
        <v>377.25</v>
      </c>
      <c r="G56" s="17">
        <v>99</v>
      </c>
      <c r="H56" s="18">
        <v>1103.25</v>
      </c>
      <c r="I56" s="16">
        <v>18063.47</v>
      </c>
      <c r="J56" s="14" t="s">
        <v>180</v>
      </c>
      <c r="K56" s="19">
        <v>6.1076304829581464E-2</v>
      </c>
      <c r="L56" s="20">
        <v>19</v>
      </c>
      <c r="M56" s="21">
        <v>9.24</v>
      </c>
      <c r="N56" s="21">
        <v>3.95</v>
      </c>
      <c r="O56" s="21">
        <v>3.42</v>
      </c>
      <c r="P56" s="21">
        <v>9.99</v>
      </c>
      <c r="Q56" s="21">
        <v>2.62</v>
      </c>
      <c r="R56" s="22">
        <v>29.220000000000002</v>
      </c>
      <c r="S56" s="23">
        <v>9.4499999999999993</v>
      </c>
      <c r="T56" s="23">
        <v>4.03</v>
      </c>
      <c r="U56" s="23">
        <v>3.49</v>
      </c>
      <c r="V56" s="23">
        <v>10.210000000000001</v>
      </c>
      <c r="W56" s="23">
        <v>2.68</v>
      </c>
      <c r="X56" s="24">
        <v>29.86</v>
      </c>
      <c r="Y56" s="25">
        <v>54</v>
      </c>
    </row>
    <row r="57" spans="1:25" ht="13" x14ac:dyDescent="0.15">
      <c r="A57" s="13" t="s">
        <v>84</v>
      </c>
      <c r="B57" s="14" t="s">
        <v>181</v>
      </c>
      <c r="C57" s="15">
        <v>69.989999999999995</v>
      </c>
      <c r="D57" s="15">
        <v>7.9</v>
      </c>
      <c r="E57" s="16">
        <v>17.989999999999998</v>
      </c>
      <c r="F57" s="16">
        <v>185.41</v>
      </c>
      <c r="G57" s="17">
        <v>29.99</v>
      </c>
      <c r="H57" s="18">
        <v>311.27999999999997</v>
      </c>
      <c r="I57" s="16">
        <v>5726.42</v>
      </c>
      <c r="J57" s="14" t="s">
        <v>182</v>
      </c>
      <c r="K57" s="19">
        <v>5.4358569577502167E-2</v>
      </c>
      <c r="L57" s="20">
        <v>22</v>
      </c>
      <c r="M57" s="21">
        <v>3.77</v>
      </c>
      <c r="N57" s="21">
        <v>0.43</v>
      </c>
      <c r="O57" s="21">
        <v>0.97</v>
      </c>
      <c r="P57" s="21">
        <v>9.99</v>
      </c>
      <c r="Q57" s="21">
        <v>1.62</v>
      </c>
      <c r="R57" s="22">
        <v>16.78</v>
      </c>
      <c r="S57" s="23">
        <v>3.85</v>
      </c>
      <c r="T57" s="23">
        <v>0.43</v>
      </c>
      <c r="U57" s="23">
        <v>0.99</v>
      </c>
      <c r="V57" s="23">
        <v>10.210000000000001</v>
      </c>
      <c r="W57" s="23">
        <v>1.65</v>
      </c>
      <c r="X57" s="24">
        <v>17.13</v>
      </c>
      <c r="Y57" s="25">
        <v>60</v>
      </c>
    </row>
    <row r="58" spans="1:25" ht="13" x14ac:dyDescent="0.15">
      <c r="A58" s="13" t="s">
        <v>69</v>
      </c>
      <c r="B58" s="14" t="s">
        <v>183</v>
      </c>
      <c r="C58" s="15">
        <v>39</v>
      </c>
      <c r="D58" s="28">
        <v>22</v>
      </c>
      <c r="E58" s="16">
        <v>19.989999999999998</v>
      </c>
      <c r="F58" s="16">
        <v>36.69</v>
      </c>
      <c r="G58" s="17">
        <v>6.99</v>
      </c>
      <c r="H58" s="18">
        <v>124.66999999999999</v>
      </c>
      <c r="I58" s="16">
        <v>13942.77</v>
      </c>
      <c r="J58" s="14" t="s">
        <v>184</v>
      </c>
      <c r="K58" s="19">
        <v>8.9415517863380076E-3</v>
      </c>
      <c r="L58" s="20">
        <v>60</v>
      </c>
      <c r="M58" s="21">
        <v>10.62</v>
      </c>
      <c r="N58" s="21">
        <v>5.99</v>
      </c>
      <c r="O58" s="21">
        <v>5.44</v>
      </c>
      <c r="P58" s="21">
        <v>9.99</v>
      </c>
      <c r="Q58" s="21">
        <v>1.9</v>
      </c>
      <c r="R58" s="22">
        <v>33.94</v>
      </c>
      <c r="S58" s="23">
        <v>10.85</v>
      </c>
      <c r="T58" s="23">
        <v>6.12</v>
      </c>
      <c r="U58" s="23">
        <v>5.56</v>
      </c>
      <c r="V58" s="23">
        <v>10.210000000000001</v>
      </c>
      <c r="W58" s="23">
        <v>1.94</v>
      </c>
      <c r="X58" s="24">
        <v>34.679999999999993</v>
      </c>
      <c r="Y58" s="25">
        <v>45</v>
      </c>
    </row>
    <row r="59" spans="1:25" ht="13" x14ac:dyDescent="0.15">
      <c r="A59" s="13" t="s">
        <v>62</v>
      </c>
      <c r="B59" s="14" t="s">
        <v>185</v>
      </c>
      <c r="C59" s="15">
        <v>270.52999999999997</v>
      </c>
      <c r="D59" s="15">
        <v>216.35</v>
      </c>
      <c r="E59" s="16">
        <v>184.45</v>
      </c>
      <c r="F59" s="16">
        <v>369.26</v>
      </c>
      <c r="G59" s="17">
        <v>360.83</v>
      </c>
      <c r="H59" s="18">
        <v>1401.4199999999998</v>
      </c>
      <c r="I59" s="16">
        <v>11235.89</v>
      </c>
      <c r="J59" s="14" t="s">
        <v>186</v>
      </c>
      <c r="K59" s="19">
        <v>0.12472710216992156</v>
      </c>
      <c r="L59" s="20">
        <v>5</v>
      </c>
      <c r="M59" s="21">
        <v>7.33</v>
      </c>
      <c r="N59" s="21">
        <v>5.86</v>
      </c>
      <c r="O59" s="21">
        <v>4.99</v>
      </c>
      <c r="P59" s="21">
        <v>9.99</v>
      </c>
      <c r="Q59" s="21">
        <v>9.77</v>
      </c>
      <c r="R59" s="22">
        <v>37.94</v>
      </c>
      <c r="S59" s="23">
        <v>7.49</v>
      </c>
      <c r="T59" s="23">
        <v>5.99</v>
      </c>
      <c r="U59" s="23">
        <v>5.0999999999999996</v>
      </c>
      <c r="V59" s="23">
        <v>10.210000000000001</v>
      </c>
      <c r="W59" s="23">
        <v>9.99</v>
      </c>
      <c r="X59" s="24">
        <v>38.78</v>
      </c>
      <c r="Y59" s="25">
        <v>38</v>
      </c>
    </row>
    <row r="60" spans="1:25" ht="13" x14ac:dyDescent="0.15">
      <c r="A60" s="13" t="s">
        <v>27</v>
      </c>
      <c r="B60" s="14" t="s">
        <v>187</v>
      </c>
      <c r="C60" s="15">
        <v>10.99</v>
      </c>
      <c r="D60" s="15">
        <v>7.99</v>
      </c>
      <c r="E60" s="16">
        <v>9.99</v>
      </c>
      <c r="F60" s="16">
        <v>8.94</v>
      </c>
      <c r="G60" s="17">
        <v>7.99</v>
      </c>
      <c r="H60" s="18">
        <v>45.9</v>
      </c>
      <c r="I60" s="16">
        <v>2065.66</v>
      </c>
      <c r="J60" s="14" t="s">
        <v>188</v>
      </c>
      <c r="K60" s="19">
        <v>2.2220500953690346E-2</v>
      </c>
      <c r="L60" s="20">
        <v>40</v>
      </c>
      <c r="M60" s="21">
        <v>12.28</v>
      </c>
      <c r="N60" s="21">
        <v>8.93</v>
      </c>
      <c r="O60" s="21">
        <v>11.16</v>
      </c>
      <c r="P60" s="21">
        <v>9.99</v>
      </c>
      <c r="Q60" s="21">
        <v>8.93</v>
      </c>
      <c r="R60" s="22">
        <v>51.290000000000006</v>
      </c>
      <c r="S60" s="23">
        <v>12.47</v>
      </c>
      <c r="T60" s="23">
        <v>9.06</v>
      </c>
      <c r="U60" s="23">
        <v>11.33</v>
      </c>
      <c r="V60" s="23">
        <v>10.210000000000001</v>
      </c>
      <c r="W60" s="23">
        <v>9.06</v>
      </c>
      <c r="X60" s="24">
        <v>52.13</v>
      </c>
      <c r="Y60" s="25">
        <v>3</v>
      </c>
    </row>
    <row r="61" spans="1:25" ht="13" x14ac:dyDescent="0.15">
      <c r="A61" s="13" t="s">
        <v>26</v>
      </c>
      <c r="B61" s="14" t="s">
        <v>189</v>
      </c>
      <c r="C61" s="15">
        <v>15.49</v>
      </c>
      <c r="D61" s="15">
        <v>14.99</v>
      </c>
      <c r="E61" s="16">
        <v>9.99</v>
      </c>
      <c r="F61" s="16">
        <v>9.99</v>
      </c>
      <c r="G61" s="17">
        <v>9.99</v>
      </c>
      <c r="H61" s="18">
        <v>60.45</v>
      </c>
      <c r="I61" s="16">
        <v>4018.21</v>
      </c>
      <c r="J61" s="14" t="s">
        <v>86</v>
      </c>
      <c r="K61" s="19">
        <v>1.5044012134756521E-2</v>
      </c>
      <c r="L61" s="20">
        <v>54</v>
      </c>
      <c r="M61" s="21">
        <v>15.49</v>
      </c>
      <c r="N61" s="21">
        <v>14.99</v>
      </c>
      <c r="O61" s="21">
        <v>9.99</v>
      </c>
      <c r="P61" s="21">
        <v>9.99</v>
      </c>
      <c r="Q61" s="21">
        <v>9.99</v>
      </c>
      <c r="R61" s="22">
        <v>60.45</v>
      </c>
      <c r="S61" s="23">
        <v>15.84</v>
      </c>
      <c r="T61" s="23">
        <v>15.32</v>
      </c>
      <c r="U61" s="23">
        <v>10.210000000000001</v>
      </c>
      <c r="V61" s="23">
        <v>10.210000000000001</v>
      </c>
      <c r="W61" s="23">
        <v>10.210000000000001</v>
      </c>
      <c r="X61" s="24">
        <v>61.790000000000006</v>
      </c>
      <c r="Y61" s="25">
        <v>2</v>
      </c>
    </row>
    <row r="62" spans="1:25" ht="13" x14ac:dyDescent="0.15">
      <c r="A62" s="13" t="s">
        <v>79</v>
      </c>
      <c r="B62" s="14" t="s">
        <v>190</v>
      </c>
      <c r="C62" s="15">
        <v>220000</v>
      </c>
      <c r="D62" s="15">
        <v>120000</v>
      </c>
      <c r="E62" s="16">
        <v>59000</v>
      </c>
      <c r="F62" s="16">
        <v>238982.45</v>
      </c>
      <c r="G62" s="17">
        <v>59000</v>
      </c>
      <c r="H62" s="18">
        <v>696982.45</v>
      </c>
      <c r="I62" s="16">
        <v>10422661.369999999</v>
      </c>
      <c r="J62" s="14" t="s">
        <v>191</v>
      </c>
      <c r="K62" s="19">
        <v>6.6871831028316328E-2</v>
      </c>
      <c r="L62" s="20">
        <v>16</v>
      </c>
      <c r="M62" s="21">
        <v>9.1999999999999993</v>
      </c>
      <c r="N62" s="21">
        <v>5.0199999999999996</v>
      </c>
      <c r="O62" s="21">
        <v>2.4700000000000002</v>
      </c>
      <c r="P62" s="21">
        <v>9.99</v>
      </c>
      <c r="Q62" s="21">
        <v>2.4700000000000002</v>
      </c>
      <c r="R62" s="22">
        <v>29.15</v>
      </c>
      <c r="S62" s="23">
        <v>9.4</v>
      </c>
      <c r="T62" s="23">
        <v>5.13</v>
      </c>
      <c r="U62" s="23">
        <v>2.52</v>
      </c>
      <c r="V62" s="23">
        <v>10.210000000000001</v>
      </c>
      <c r="W62" s="23">
        <v>2.52</v>
      </c>
      <c r="X62" s="24">
        <v>29.78</v>
      </c>
      <c r="Y62" s="25">
        <v>55</v>
      </c>
    </row>
  </sheetData>
  <autoFilter ref="A2:Y62" xr:uid="{00000000-0009-0000-0000-000002000000}">
    <sortState xmlns:xlrd2="http://schemas.microsoft.com/office/spreadsheetml/2017/richdata2" ref="A2:Y62">
      <sortCondition ref="B2:B62"/>
      <sortCondition ref="A2:A62"/>
    </sortState>
  </autoFilter>
  <mergeCells count="4">
    <mergeCell ref="C1:G1"/>
    <mergeCell ref="M1:Q1"/>
    <mergeCell ref="S1:W1"/>
    <mergeCell ref="A1:B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200-000000000000}">
          <x14:formula1>
            <xm:f>Języki!$A$1:$A$28</xm:f>
          </x14:formula1>
          <xm:sqref>B2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O11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12.6640625" defaultRowHeight="15.75" customHeight="1" x14ac:dyDescent="0.15"/>
  <sheetData>
    <row r="1" spans="1:15" ht="15.75" customHeight="1" x14ac:dyDescent="0.15">
      <c r="A1" s="67" t="s">
        <v>501</v>
      </c>
      <c r="B1" s="67" t="s">
        <v>502</v>
      </c>
      <c r="C1" s="67" t="s">
        <v>510</v>
      </c>
      <c r="D1" s="67" t="s">
        <v>805</v>
      </c>
      <c r="E1" s="67" t="s">
        <v>507</v>
      </c>
      <c r="F1" s="122"/>
      <c r="G1" s="67" t="s">
        <v>501</v>
      </c>
      <c r="H1" s="67" t="s">
        <v>502</v>
      </c>
      <c r="I1" s="67" t="s">
        <v>510</v>
      </c>
      <c r="J1" s="67" t="s">
        <v>509</v>
      </c>
      <c r="K1" s="123" t="s">
        <v>510</v>
      </c>
      <c r="L1" s="67" t="s">
        <v>86</v>
      </c>
      <c r="M1" s="123" t="s">
        <v>510</v>
      </c>
      <c r="N1" s="67" t="s">
        <v>85</v>
      </c>
      <c r="O1" s="124"/>
    </row>
    <row r="2" spans="1:15" ht="15.75" customHeight="1" x14ac:dyDescent="0.15">
      <c r="A2" s="86" t="s">
        <v>520</v>
      </c>
      <c r="B2" s="111" t="s">
        <v>521</v>
      </c>
      <c r="C2" s="125"/>
      <c r="D2" s="89"/>
      <c r="E2" s="89" t="s">
        <v>525</v>
      </c>
      <c r="F2" s="77"/>
      <c r="G2" s="126" t="s">
        <v>520</v>
      </c>
      <c r="H2" s="127" t="s">
        <v>521</v>
      </c>
      <c r="I2" s="128"/>
      <c r="J2" s="129"/>
      <c r="K2" s="128"/>
      <c r="L2" s="94"/>
      <c r="M2" s="128"/>
      <c r="N2" s="94"/>
      <c r="O2" s="27"/>
    </row>
    <row r="3" spans="1:15" ht="15.75" customHeight="1" x14ac:dyDescent="0.15">
      <c r="A3" s="86" t="s">
        <v>52</v>
      </c>
      <c r="B3" s="87" t="s">
        <v>88</v>
      </c>
      <c r="C3" s="125"/>
      <c r="D3" s="89"/>
      <c r="E3" s="89" t="s">
        <v>89</v>
      </c>
      <c r="F3" s="77"/>
      <c r="G3" s="126" t="s">
        <v>52</v>
      </c>
      <c r="H3" s="130" t="s">
        <v>88</v>
      </c>
      <c r="I3" s="128"/>
      <c r="J3" s="129"/>
      <c r="K3" s="128"/>
      <c r="L3" s="94"/>
      <c r="M3" s="128"/>
      <c r="N3" s="94"/>
      <c r="O3" s="27"/>
    </row>
    <row r="4" spans="1:15" ht="15.75" customHeight="1" x14ac:dyDescent="0.15">
      <c r="A4" s="86" t="s">
        <v>588</v>
      </c>
      <c r="B4" s="87" t="s">
        <v>589</v>
      </c>
      <c r="C4" s="125"/>
      <c r="D4" s="89"/>
      <c r="E4" s="89" t="s">
        <v>280</v>
      </c>
      <c r="F4" s="77"/>
      <c r="G4" s="126" t="s">
        <v>588</v>
      </c>
      <c r="H4" s="130" t="s">
        <v>589</v>
      </c>
      <c r="I4" s="128"/>
      <c r="J4" s="129"/>
      <c r="K4" s="128"/>
      <c r="L4" s="94"/>
      <c r="M4" s="128"/>
      <c r="N4" s="94"/>
      <c r="O4" s="27"/>
    </row>
    <row r="5" spans="1:15" ht="15.75" customHeight="1" x14ac:dyDescent="0.15">
      <c r="A5" s="73" t="s">
        <v>511</v>
      </c>
      <c r="B5" s="74" t="s">
        <v>512</v>
      </c>
      <c r="C5" s="131" t="s">
        <v>539</v>
      </c>
      <c r="D5" s="96" t="s">
        <v>85</v>
      </c>
      <c r="E5" s="76" t="s">
        <v>85</v>
      </c>
      <c r="F5" s="77"/>
      <c r="G5" s="132" t="s">
        <v>511</v>
      </c>
      <c r="H5" s="133" t="s">
        <v>512</v>
      </c>
      <c r="I5" s="134" t="str">
        <f ca="1">IFERROR(__xludf.DUMMYFUNCTION("IF(D5=E5,C5,GOOGLEFINANCE(CONCATENATE(D5,E5))*C5)"),"8.99")</f>
        <v>8.99</v>
      </c>
      <c r="J5" s="135" t="s">
        <v>85</v>
      </c>
      <c r="K5" s="134">
        <f ca="1">IFERROR(__xludf.DUMMYFUNCTION("VALUE(IF(D5=""USD"",C5,IF(D5=""EUR"",C5/GOOGLEFINANCE(CONCATENATE(L5,N5)),IF(D5=E5,C5/GOOGLEFINANCE(CONCATENATE(L5,J5))))))"),8.845160497)</f>
        <v>8.8451604970000002</v>
      </c>
      <c r="L5" s="81" t="s">
        <v>86</v>
      </c>
      <c r="M5" s="134">
        <f ca="1">IFERROR(__xludf.DUMMYFUNCTION("VALUE(IF(D5=""EUR"",C5,IF(D5=""USD"",GOOGLEFINANCE(CONCATENATE(L5,N5))*C5,IF(D5=E5,C5/GOOGLEFINANCE(CONCATENATE(N5,J5))))))"),8.99)</f>
        <v>8.99</v>
      </c>
      <c r="N5" s="81" t="s">
        <v>85</v>
      </c>
      <c r="O5" s="27"/>
    </row>
    <row r="6" spans="1:15" ht="15.75" customHeight="1" x14ac:dyDescent="0.15">
      <c r="A6" s="73" t="s">
        <v>83</v>
      </c>
      <c r="B6" s="74" t="s">
        <v>90</v>
      </c>
      <c r="C6" s="131" t="s">
        <v>806</v>
      </c>
      <c r="D6" s="96" t="s">
        <v>91</v>
      </c>
      <c r="E6" s="76" t="s">
        <v>91</v>
      </c>
      <c r="F6" s="77"/>
      <c r="G6" s="132" t="s">
        <v>83</v>
      </c>
      <c r="H6" s="133" t="s">
        <v>90</v>
      </c>
      <c r="I6" s="134" t="str">
        <f ca="1">IFERROR(__xludf.DUMMYFUNCTION("IF(D6=E6,C6,GOOGLEFINANCE(CONCATENATE(D6,E6))*C6)"),"529.00")</f>
        <v>529.00</v>
      </c>
      <c r="J6" s="135" t="s">
        <v>91</v>
      </c>
      <c r="K6" s="134">
        <f ca="1">IFERROR(__xludf.DUMMYFUNCTION("VALUE(IF(D6=""USD"",C6,IF(D6=""EUR"",C6/GOOGLEFINANCE(CONCATENATE(L6,N6)),IF(D6=E6,C6/GOOGLEFINANCE(CONCATENATE(L6,J6))))))"),3.439397683)</f>
        <v>3.4393976830000001</v>
      </c>
      <c r="L6" s="81" t="s">
        <v>86</v>
      </c>
      <c r="M6" s="134">
        <f ca="1">IFERROR(__xludf.DUMMYFUNCTION("VALUE(IF(D6=""EUR"",C6,IF(D6=""USD"",GOOGLEFINANCE(CONCATENATE(L6,N6))*C6,IF(D6=E6,C6/GOOGLEFINANCE(CONCATENATE(N6,J6))))))"),3.495346036)</f>
        <v>3.4953460359999999</v>
      </c>
      <c r="N6" s="81" t="s">
        <v>85</v>
      </c>
      <c r="O6" s="27"/>
    </row>
    <row r="7" spans="1:15" ht="15.75" customHeight="1" x14ac:dyDescent="0.15">
      <c r="A7" s="86" t="s">
        <v>528</v>
      </c>
      <c r="B7" s="87" t="s">
        <v>216</v>
      </c>
      <c r="C7" s="125"/>
      <c r="D7" s="89"/>
      <c r="E7" s="89" t="s">
        <v>217</v>
      </c>
      <c r="F7" s="77"/>
      <c r="G7" s="126" t="s">
        <v>528</v>
      </c>
      <c r="H7" s="130" t="s">
        <v>216</v>
      </c>
      <c r="I7" s="128"/>
      <c r="J7" s="129"/>
      <c r="K7" s="128"/>
      <c r="L7" s="94"/>
      <c r="M7" s="128"/>
      <c r="N7" s="94"/>
      <c r="O7" s="27"/>
    </row>
    <row r="8" spans="1:15" ht="15.75" customHeight="1" x14ac:dyDescent="0.15">
      <c r="A8" s="86" t="s">
        <v>57</v>
      </c>
      <c r="B8" s="87" t="s">
        <v>92</v>
      </c>
      <c r="C8" s="125"/>
      <c r="D8" s="89"/>
      <c r="E8" s="89" t="s">
        <v>93</v>
      </c>
      <c r="F8" s="77"/>
      <c r="G8" s="126" t="s">
        <v>57</v>
      </c>
      <c r="H8" s="130" t="s">
        <v>92</v>
      </c>
      <c r="I8" s="128"/>
      <c r="J8" s="129"/>
      <c r="K8" s="128"/>
      <c r="L8" s="94"/>
      <c r="M8" s="128"/>
      <c r="N8" s="94"/>
      <c r="O8" s="27"/>
    </row>
    <row r="9" spans="1:15" ht="15.75" customHeight="1" x14ac:dyDescent="0.15">
      <c r="A9" s="86" t="s">
        <v>28</v>
      </c>
      <c r="B9" s="87" t="s">
        <v>94</v>
      </c>
      <c r="C9" s="125"/>
      <c r="D9" s="89"/>
      <c r="E9" s="89" t="s">
        <v>85</v>
      </c>
      <c r="F9" s="77"/>
      <c r="G9" s="126" t="s">
        <v>28</v>
      </c>
      <c r="H9" s="130" t="s">
        <v>94</v>
      </c>
      <c r="I9" s="128"/>
      <c r="J9" s="129"/>
      <c r="K9" s="128"/>
      <c r="L9" s="94"/>
      <c r="M9" s="128"/>
      <c r="N9" s="94"/>
      <c r="O9" s="27"/>
    </row>
    <row r="10" spans="1:15" ht="15.75" customHeight="1" x14ac:dyDescent="0.15">
      <c r="A10" s="86" t="s">
        <v>535</v>
      </c>
      <c r="B10" s="87" t="s">
        <v>536</v>
      </c>
      <c r="C10" s="125"/>
      <c r="D10" s="89"/>
      <c r="E10" s="89" t="s">
        <v>224</v>
      </c>
      <c r="F10" s="77"/>
      <c r="G10" s="126" t="s">
        <v>535</v>
      </c>
      <c r="H10" s="130" t="s">
        <v>536</v>
      </c>
      <c r="I10" s="128"/>
      <c r="J10" s="129"/>
      <c r="K10" s="128"/>
      <c r="L10" s="94"/>
      <c r="M10" s="128"/>
      <c r="N10" s="94"/>
      <c r="O10" s="27"/>
    </row>
    <row r="11" spans="1:15" ht="15.75" customHeight="1" x14ac:dyDescent="0.15">
      <c r="A11" s="86" t="s">
        <v>547</v>
      </c>
      <c r="B11" s="87" t="s">
        <v>548</v>
      </c>
      <c r="C11" s="125"/>
      <c r="D11" s="89"/>
      <c r="E11" s="89" t="s">
        <v>244</v>
      </c>
      <c r="F11" s="77"/>
      <c r="G11" s="126" t="s">
        <v>547</v>
      </c>
      <c r="H11" s="130" t="s">
        <v>548</v>
      </c>
      <c r="I11" s="128"/>
      <c r="J11" s="129"/>
      <c r="K11" s="128"/>
      <c r="L11" s="94"/>
      <c r="M11" s="128"/>
      <c r="N11" s="94"/>
      <c r="O11" s="27"/>
    </row>
    <row r="12" spans="1:15" ht="15.75" customHeight="1" x14ac:dyDescent="0.15">
      <c r="A12" s="86" t="s">
        <v>537</v>
      </c>
      <c r="B12" s="87" t="s">
        <v>538</v>
      </c>
      <c r="C12" s="125"/>
      <c r="D12" s="89"/>
      <c r="E12" s="89" t="s">
        <v>85</v>
      </c>
      <c r="F12" s="77"/>
      <c r="G12" s="126" t="s">
        <v>537</v>
      </c>
      <c r="H12" s="130" t="s">
        <v>538</v>
      </c>
      <c r="I12" s="128"/>
      <c r="J12" s="129"/>
      <c r="K12" s="128"/>
      <c r="L12" s="94"/>
      <c r="M12" s="128"/>
      <c r="N12" s="94"/>
      <c r="O12" s="27"/>
    </row>
    <row r="13" spans="1:15" ht="15.75" customHeight="1" x14ac:dyDescent="0.15">
      <c r="A13" s="136" t="s">
        <v>541</v>
      </c>
      <c r="B13" s="137" t="s">
        <v>542</v>
      </c>
      <c r="C13" s="138"/>
      <c r="D13" s="139"/>
      <c r="E13" s="139" t="s">
        <v>236</v>
      </c>
      <c r="F13" s="77"/>
      <c r="G13" s="140" t="s">
        <v>541</v>
      </c>
      <c r="H13" s="141" t="s">
        <v>542</v>
      </c>
      <c r="I13" s="142">
        <f ca="1">IFERROR(__xludf.DUMMYFUNCTION("IF(D13=E13,C13,GOOGLEFINANCE(CONCATENATE(D13,E13))*C13)"),0)</f>
        <v>0</v>
      </c>
      <c r="J13" s="143" t="s">
        <v>236</v>
      </c>
      <c r="K13" s="142" t="str">
        <f ca="1">IFERROR(__xludf.DUMMYFUNCTION("IFERROR(VALUE(IF(D13=""USD"",C13,IF(D13=""EUR"",C13/GOOGLEFINANCE(CONCATENATE(L13,N13)),IF(D13=E13,C13/GOOGLEFINANCE(CONCATENATE(L13,J13)))))),"""")"),"")</f>
        <v/>
      </c>
      <c r="L13" s="144" t="s">
        <v>86</v>
      </c>
      <c r="M13" s="142" t="str">
        <f ca="1">IFERROR(__xludf.DUMMYFUNCTION("VALUE(IF(D13=""EUR"",C13,IF(D13=""USD"",GOOGLEFINANCE(CONCATENATE(L13,N13))*C13,IF(D13=E13,C13/GOOGLEFINANCE(CONCATENATE(N13,J13))))))"),"#VALUE!")</f>
        <v>#VALUE!</v>
      </c>
      <c r="N13" s="144" t="s">
        <v>85</v>
      </c>
      <c r="O13" s="27"/>
    </row>
    <row r="14" spans="1:15" ht="15.75" customHeight="1" x14ac:dyDescent="0.15">
      <c r="A14" s="73" t="s">
        <v>53</v>
      </c>
      <c r="B14" s="74" t="s">
        <v>95</v>
      </c>
      <c r="C14" s="131" t="s">
        <v>539</v>
      </c>
      <c r="D14" s="96" t="s">
        <v>85</v>
      </c>
      <c r="E14" s="76" t="s">
        <v>96</v>
      </c>
      <c r="F14" s="77"/>
      <c r="G14" s="132" t="s">
        <v>53</v>
      </c>
      <c r="H14" s="133" t="s">
        <v>95</v>
      </c>
      <c r="I14" s="134">
        <f ca="1">IFERROR(__xludf.DUMMYFUNCTION("IF(D14=E14,C14,GOOGLEFINANCE(CONCATENATE(D14,E14))*C14)"),17.57121497282)</f>
        <v>17.571214972820002</v>
      </c>
      <c r="J14" s="145" t="s">
        <v>96</v>
      </c>
      <c r="K14" s="134">
        <f ca="1">IFERROR(__xludf.DUMMYFUNCTION("VALUE(IF(D14=""USD"",C14,IF(D14=""EUR"",C14/GOOGLEFINANCE(CONCATENATE(L14,N14)),IF(D14=E14,C14/GOOGLEFINANCE(CONCATENATE(L14,J14))))))"),8.845160497)</f>
        <v>8.8451604970000002</v>
      </c>
      <c r="L14" s="81" t="s">
        <v>86</v>
      </c>
      <c r="M14" s="134">
        <f ca="1">IFERROR(__xludf.DUMMYFUNCTION("VALUE(IF(D14=""EUR"",C14,IF(D14=""USD"",GOOGLEFINANCE(CONCATENATE(L14,N14))*C14,IF(D14=E14,C14/GOOGLEFINANCE(CONCATENATE(N14,J14))))))"),8.99)</f>
        <v>8.99</v>
      </c>
      <c r="N14" s="81" t="s">
        <v>85</v>
      </c>
      <c r="O14" s="27"/>
    </row>
    <row r="15" spans="1:15" ht="15.75" customHeight="1" x14ac:dyDescent="0.15">
      <c r="A15" s="73" t="s">
        <v>77</v>
      </c>
      <c r="B15" s="74" t="s">
        <v>97</v>
      </c>
      <c r="C15" s="131" t="s">
        <v>807</v>
      </c>
      <c r="D15" s="96" t="s">
        <v>98</v>
      </c>
      <c r="E15" s="76" t="s">
        <v>98</v>
      </c>
      <c r="F15" s="77"/>
      <c r="G15" s="132" t="s">
        <v>77</v>
      </c>
      <c r="H15" s="133" t="s">
        <v>97</v>
      </c>
      <c r="I15" s="134" t="str">
        <f ca="1">IFERROR(__xludf.DUMMYFUNCTION("IF(D15=E15,C15,GOOGLEFINANCE(CONCATENATE(D15,E15))*C15)"),"28.00")</f>
        <v>28.00</v>
      </c>
      <c r="J15" s="135" t="s">
        <v>98</v>
      </c>
      <c r="K15" s="134">
        <f ca="1">IFERROR(__xludf.DUMMYFUNCTION("VALUE(IF(D15=""USD"",C15,IF(D15=""EUR"",C15/GOOGLEFINANCE(CONCATENATE(L15,N15)),IF(D15=E15,C15/GOOGLEFINANCE(CONCATENATE(L15,J15))))))"),5.420893673)</f>
        <v>5.4208936730000001</v>
      </c>
      <c r="L15" s="81" t="s">
        <v>86</v>
      </c>
      <c r="M15" s="134">
        <f ca="1">IFERROR(__xludf.DUMMYFUNCTION("VALUE(IF(D15=""EUR"",C15,IF(D15=""USD"",GOOGLEFINANCE(CONCATENATE(L15,N15))*C15,IF(D15=E15,C15/GOOGLEFINANCE(CONCATENATE(N15,J15))))))"),5.509374223)</f>
        <v>5.509374223</v>
      </c>
      <c r="N15" s="81" t="s">
        <v>85</v>
      </c>
      <c r="O15" s="27"/>
    </row>
    <row r="16" spans="1:15" ht="15.75" customHeight="1" x14ac:dyDescent="0.15">
      <c r="A16" s="73" t="s">
        <v>54</v>
      </c>
      <c r="B16" s="74" t="s">
        <v>99</v>
      </c>
      <c r="C16" s="131" t="s">
        <v>539</v>
      </c>
      <c r="D16" s="96" t="s">
        <v>85</v>
      </c>
      <c r="E16" s="76" t="s">
        <v>100</v>
      </c>
      <c r="F16" s="77"/>
      <c r="G16" s="132" t="s">
        <v>54</v>
      </c>
      <c r="H16" s="133" t="s">
        <v>99</v>
      </c>
      <c r="I16" s="134">
        <f ca="1">IFERROR(__xludf.DUMMYFUNCTION("IF(D16=E16,C16,GOOGLEFINANCE(CONCATENATE(D16,E16))*C16)"),17.5703215646)</f>
        <v>17.5703215646</v>
      </c>
      <c r="J16" s="145" t="s">
        <v>100</v>
      </c>
      <c r="K16" s="134">
        <f ca="1">IFERROR(__xludf.DUMMYFUNCTION("VALUE(IF(D16=""USD"",C16,IF(D16=""EUR"",C16/GOOGLEFINANCE(CONCATENATE(L16,N16)),IF(D16=E16,C16/GOOGLEFINANCE(CONCATENATE(L16,J16))))))"),8.845160497)</f>
        <v>8.8451604970000002</v>
      </c>
      <c r="L16" s="81" t="s">
        <v>86</v>
      </c>
      <c r="M16" s="134">
        <f ca="1">IFERROR(__xludf.DUMMYFUNCTION("VALUE(IF(D16=""EUR"",C16,IF(D16=""USD"",GOOGLEFINANCE(CONCATENATE(L16,N16))*C16,IF(D16=E16,C16/GOOGLEFINANCE(CONCATENATE(N16,J16))))))"),8.99)</f>
        <v>8.99</v>
      </c>
      <c r="N16" s="81" t="s">
        <v>85</v>
      </c>
      <c r="O16" s="27"/>
    </row>
    <row r="17" spans="1:15" ht="15.75" customHeight="1" x14ac:dyDescent="0.15">
      <c r="A17" s="86" t="s">
        <v>642</v>
      </c>
      <c r="B17" s="87" t="s">
        <v>643</v>
      </c>
      <c r="C17" s="125"/>
      <c r="D17" s="89"/>
      <c r="E17" s="89" t="s">
        <v>347</v>
      </c>
      <c r="F17" s="77"/>
      <c r="G17" s="126" t="s">
        <v>642</v>
      </c>
      <c r="H17" s="130" t="s">
        <v>643</v>
      </c>
      <c r="I17" s="128"/>
      <c r="J17" s="129"/>
      <c r="K17" s="128"/>
      <c r="L17" s="94"/>
      <c r="M17" s="128"/>
      <c r="N17" s="94"/>
      <c r="O17" s="27"/>
    </row>
    <row r="18" spans="1:15" ht="15.75" customHeight="1" x14ac:dyDescent="0.15">
      <c r="A18" s="86" t="s">
        <v>560</v>
      </c>
      <c r="B18" s="87" t="s">
        <v>561</v>
      </c>
      <c r="C18" s="125"/>
      <c r="D18" s="89"/>
      <c r="E18" s="89" t="s">
        <v>255</v>
      </c>
      <c r="F18" s="77"/>
      <c r="G18" s="126" t="s">
        <v>560</v>
      </c>
      <c r="H18" s="130" t="s">
        <v>561</v>
      </c>
      <c r="I18" s="128"/>
      <c r="J18" s="129"/>
      <c r="K18" s="128"/>
      <c r="L18" s="94"/>
      <c r="M18" s="128"/>
      <c r="N18" s="94"/>
      <c r="O18" s="27"/>
    </row>
    <row r="19" spans="1:15" ht="15.75" customHeight="1" x14ac:dyDescent="0.15">
      <c r="A19" s="86" t="s">
        <v>37</v>
      </c>
      <c r="B19" s="87" t="s">
        <v>101</v>
      </c>
      <c r="C19" s="125"/>
      <c r="D19" s="89"/>
      <c r="E19" s="89" t="s">
        <v>102</v>
      </c>
      <c r="F19" s="77"/>
      <c r="G19" s="126" t="s">
        <v>37</v>
      </c>
      <c r="H19" s="130" t="s">
        <v>101</v>
      </c>
      <c r="I19" s="128"/>
      <c r="J19" s="129"/>
      <c r="K19" s="128"/>
      <c r="L19" s="94"/>
      <c r="M19" s="128"/>
      <c r="N19" s="94"/>
      <c r="O19" s="27"/>
    </row>
    <row r="20" spans="1:15" ht="15.75" customHeight="1" x14ac:dyDescent="0.15">
      <c r="A20" s="73" t="s">
        <v>68</v>
      </c>
      <c r="B20" s="74" t="s">
        <v>103</v>
      </c>
      <c r="C20" s="131" t="s">
        <v>808</v>
      </c>
      <c r="D20" s="96" t="s">
        <v>104</v>
      </c>
      <c r="E20" s="76" t="s">
        <v>104</v>
      </c>
      <c r="F20" s="77"/>
      <c r="G20" s="132" t="s">
        <v>68</v>
      </c>
      <c r="H20" s="133" t="s">
        <v>103</v>
      </c>
      <c r="I20" s="134" t="str">
        <f ca="1">IFERROR(__xludf.DUMMYFUNCTION("IF(D20=E20,C20,GOOGLEFINANCE(CONCATENATE(D20,E20))*C20)"),"6,900.00")</f>
        <v>6,900.00</v>
      </c>
      <c r="J20" s="135" t="s">
        <v>104</v>
      </c>
      <c r="K20" s="134">
        <f ca="1">IFERROR(__xludf.DUMMYFUNCTION("VALUE(IF(D20=""USD"",C20,IF(D20=""EUR"",C20/GOOGLEFINANCE(CONCATENATE(L20,N20)),IF(D20=E20,C20/GOOGLEFINANCE(CONCATENATE(L20,J20))))))"),7.093292213)</f>
        <v>7.0932922129999998</v>
      </c>
      <c r="L20" s="81" t="s">
        <v>86</v>
      </c>
      <c r="M20" s="134">
        <f ca="1">IFERROR(__xludf.DUMMYFUNCTION("VALUE(IF(D20=""EUR"",C20,IF(D20=""USD"",GOOGLEFINANCE(CONCATENATE(L20,N20))*C20,IF(D20=E20,C20/GOOGLEFINANCE(CONCATENATE(N20,J20))))))"),7.209069875)</f>
        <v>7.209069875</v>
      </c>
      <c r="N20" s="81" t="s">
        <v>85</v>
      </c>
      <c r="O20" s="27"/>
    </row>
    <row r="21" spans="1:15" ht="15.75" customHeight="1" x14ac:dyDescent="0.15">
      <c r="A21" s="86" t="s">
        <v>562</v>
      </c>
      <c r="B21" s="87" t="s">
        <v>563</v>
      </c>
      <c r="C21" s="125"/>
      <c r="D21" s="89"/>
      <c r="E21" s="89" t="s">
        <v>258</v>
      </c>
      <c r="F21" s="77"/>
      <c r="G21" s="126" t="s">
        <v>562</v>
      </c>
      <c r="H21" s="130" t="s">
        <v>563</v>
      </c>
      <c r="I21" s="128"/>
      <c r="J21" s="129"/>
      <c r="K21" s="128"/>
      <c r="L21" s="94"/>
      <c r="M21" s="128"/>
      <c r="N21" s="94"/>
      <c r="O21" s="27"/>
    </row>
    <row r="22" spans="1:15" ht="15.75" customHeight="1" x14ac:dyDescent="0.15">
      <c r="A22" s="73" t="s">
        <v>80</v>
      </c>
      <c r="B22" s="74" t="s">
        <v>105</v>
      </c>
      <c r="C22" s="131" t="s">
        <v>809</v>
      </c>
      <c r="D22" s="96" t="s">
        <v>106</v>
      </c>
      <c r="E22" s="76" t="s">
        <v>106</v>
      </c>
      <c r="F22" s="77"/>
      <c r="G22" s="132" t="s">
        <v>80</v>
      </c>
      <c r="H22" s="133" t="s">
        <v>105</v>
      </c>
      <c r="I22" s="134" t="str">
        <f ca="1">IFERROR(__xludf.DUMMYFUNCTION("IF(D22=E22,C22,GOOGLEFINANCE(CONCATENATE(D22,E22))*C22)"),"19,900.00")</f>
        <v>19,900.00</v>
      </c>
      <c r="J22" s="135" t="s">
        <v>106</v>
      </c>
      <c r="K22" s="134">
        <f ca="1">IFERROR(__xludf.DUMMYFUNCTION("VALUE(IF(D22=""USD"",C22,IF(D22=""EUR"",C22/GOOGLEFINANCE(CONCATENATE(L22,N22)),IF(D22=E22,C22/GOOGLEFINANCE(CONCATENATE(L22,J22))))))"),4.046278034)</f>
        <v>4.0462780340000002</v>
      </c>
      <c r="L22" s="81" t="s">
        <v>86</v>
      </c>
      <c r="M22" s="134">
        <f ca="1">IFERROR(__xludf.DUMMYFUNCTION("VALUE(IF(D22=""EUR"",C22,IF(D22=""USD"",GOOGLEFINANCE(CONCATENATE(L22,N22))*C22,IF(D22=E22,C22/GOOGLEFINANCE(CONCATENATE(N22,J22))))))"),4.112321924)</f>
        <v>4.1123219239999997</v>
      </c>
      <c r="N22" s="81" t="s">
        <v>85</v>
      </c>
      <c r="O22" s="27"/>
    </row>
    <row r="23" spans="1:15" ht="15.75" customHeight="1" x14ac:dyDescent="0.15">
      <c r="A23" s="73" t="s">
        <v>568</v>
      </c>
      <c r="B23" s="74" t="s">
        <v>569</v>
      </c>
      <c r="C23" s="146" t="s">
        <v>810</v>
      </c>
      <c r="D23" s="96" t="s">
        <v>263</v>
      </c>
      <c r="E23" s="76" t="s">
        <v>263</v>
      </c>
      <c r="F23" s="77"/>
      <c r="G23" s="132" t="s">
        <v>568</v>
      </c>
      <c r="H23" s="133" t="s">
        <v>569</v>
      </c>
      <c r="I23" s="134" t="str">
        <f ca="1">IFERROR(__xludf.DUMMYFUNCTION("IF(D23=E23,C23,GOOGLEFINANCE(CONCATENATE(D23,E23))*C23)"),"2,075.00")</f>
        <v>2,075.00</v>
      </c>
      <c r="J23" s="135" t="s">
        <v>263</v>
      </c>
      <c r="K23" s="134">
        <f ca="1">IFERROR(__xludf.DUMMYFUNCTION("VALUE(IF(D23=""USD"",C23,IF(D23=""EUR"",C23/GOOGLEFINANCE(CONCATENATE(L23,N23)),IF(D23=E23,C23/GOOGLEFINANCE(CONCATENATE(L23,J23))))))"),3.37651805)</f>
        <v>3.37651805</v>
      </c>
      <c r="L23" s="81" t="s">
        <v>86</v>
      </c>
      <c r="M23" s="134">
        <f ca="1">IFERROR(__xludf.DUMMYFUNCTION("VALUE(IF(D23=""EUR"",C23,IF(D23=""USD"",GOOGLEFINANCE(CONCATENATE(L23,N23))*C23,IF(D23=E23,C23/GOOGLEFINANCE(CONCATENATE(N23,J23))))))"),3.431630029)</f>
        <v>3.4316300289999999</v>
      </c>
      <c r="N23" s="81" t="s">
        <v>85</v>
      </c>
      <c r="O23" s="27"/>
    </row>
    <row r="24" spans="1:15" ht="15.75" customHeight="1" x14ac:dyDescent="0.15">
      <c r="A24" s="86" t="s">
        <v>555</v>
      </c>
      <c r="B24" s="87" t="s">
        <v>556</v>
      </c>
      <c r="C24" s="125"/>
      <c r="D24" s="89"/>
      <c r="E24" s="89" t="s">
        <v>251</v>
      </c>
      <c r="F24" s="77"/>
      <c r="G24" s="126" t="s">
        <v>555</v>
      </c>
      <c r="H24" s="130" t="s">
        <v>556</v>
      </c>
      <c r="I24" s="128"/>
      <c r="J24" s="129"/>
      <c r="K24" s="128"/>
      <c r="L24" s="94"/>
      <c r="M24" s="128"/>
      <c r="N24" s="94"/>
      <c r="O24" s="27"/>
    </row>
    <row r="25" spans="1:15" ht="15.75" customHeight="1" x14ac:dyDescent="0.15">
      <c r="A25" s="73" t="s">
        <v>46</v>
      </c>
      <c r="B25" s="74" t="s">
        <v>107</v>
      </c>
      <c r="C25" s="131" t="s">
        <v>539</v>
      </c>
      <c r="D25" s="96" t="s">
        <v>85</v>
      </c>
      <c r="E25" s="76" t="s">
        <v>108</v>
      </c>
      <c r="F25" s="77"/>
      <c r="G25" s="132" t="s">
        <v>46</v>
      </c>
      <c r="H25" s="133" t="s">
        <v>107</v>
      </c>
      <c r="I25" s="134">
        <f ca="1">IFERROR(__xludf.DUMMYFUNCTION("IF(D25=E25,C25,GOOGLEFINANCE(CONCATENATE(D25,E25))*C25)"),67.7486081754)</f>
        <v>67.748608175399994</v>
      </c>
      <c r="J25" s="145" t="s">
        <v>108</v>
      </c>
      <c r="K25" s="134">
        <f ca="1">IFERROR(__xludf.DUMMYFUNCTION("VALUE(IF(D25=""USD"",C25,IF(D25=""EUR"",C25/GOOGLEFINANCE(CONCATENATE(L25,N25)),IF(D25=E25,C25/GOOGLEFINANCE(CONCATENATE(L25,J25))))))"),8.845160497)</f>
        <v>8.8451604970000002</v>
      </c>
      <c r="L25" s="81" t="s">
        <v>86</v>
      </c>
      <c r="M25" s="134">
        <f ca="1">IFERROR(__xludf.DUMMYFUNCTION("VALUE(IF(D25=""EUR"",C25,IF(D25=""USD"",GOOGLEFINANCE(CONCATENATE(L25,N25))*C25,IF(D25=E25,C25/GOOGLEFINANCE(CONCATENATE(N25,J25))))))"),8.99)</f>
        <v>8.99</v>
      </c>
      <c r="N25" s="81" t="s">
        <v>85</v>
      </c>
      <c r="O25" s="27"/>
    </row>
    <row r="26" spans="1:15" ht="15.75" customHeight="1" x14ac:dyDescent="0.15">
      <c r="A26" s="86" t="s">
        <v>572</v>
      </c>
      <c r="B26" s="87" t="s">
        <v>573</v>
      </c>
      <c r="C26" s="125"/>
      <c r="D26" s="89"/>
      <c r="E26" s="89" t="s">
        <v>86</v>
      </c>
      <c r="F26" s="77"/>
      <c r="G26" s="126" t="s">
        <v>572</v>
      </c>
      <c r="H26" s="130" t="s">
        <v>573</v>
      </c>
      <c r="I26" s="128"/>
      <c r="J26" s="129"/>
      <c r="K26" s="128"/>
      <c r="L26" s="94"/>
      <c r="M26" s="128"/>
      <c r="N26" s="94"/>
      <c r="O26" s="27"/>
    </row>
    <row r="27" spans="1:15" ht="15.75" customHeight="1" x14ac:dyDescent="0.15">
      <c r="A27" s="86" t="s">
        <v>574</v>
      </c>
      <c r="B27" s="87" t="s">
        <v>575</v>
      </c>
      <c r="C27" s="125"/>
      <c r="D27" s="89"/>
      <c r="E27" s="89" t="s">
        <v>85</v>
      </c>
      <c r="F27" s="77"/>
      <c r="G27" s="126" t="s">
        <v>574</v>
      </c>
      <c r="H27" s="130" t="s">
        <v>575</v>
      </c>
      <c r="I27" s="128"/>
      <c r="J27" s="129"/>
      <c r="K27" s="128"/>
      <c r="L27" s="94"/>
      <c r="M27" s="128"/>
      <c r="N27" s="94"/>
      <c r="O27" s="27"/>
    </row>
    <row r="28" spans="1:15" ht="15.75" customHeight="1" x14ac:dyDescent="0.15">
      <c r="A28" s="73" t="s">
        <v>41</v>
      </c>
      <c r="B28" s="74" t="s">
        <v>109</v>
      </c>
      <c r="C28" s="131" t="s">
        <v>539</v>
      </c>
      <c r="D28" s="96" t="s">
        <v>85</v>
      </c>
      <c r="E28" s="76" t="s">
        <v>110</v>
      </c>
      <c r="F28" s="77"/>
      <c r="G28" s="132" t="s">
        <v>41</v>
      </c>
      <c r="H28" s="133" t="s">
        <v>109</v>
      </c>
      <c r="I28" s="134">
        <f ca="1">IFERROR(__xludf.DUMMYFUNCTION("IF(D28=E28,C28,GOOGLEFINANCE(CONCATENATE(D28,E28))*C28)"),220.1197005)</f>
        <v>220.11970049999999</v>
      </c>
      <c r="J28" s="145" t="s">
        <v>110</v>
      </c>
      <c r="K28" s="134">
        <f ca="1">IFERROR(__xludf.DUMMYFUNCTION("VALUE(IF(D28=""USD"",C28,IF(D28=""EUR"",C28/GOOGLEFINANCE(CONCATENATE(L28,N28)),IF(D28=E28,C28/GOOGLEFINANCE(CONCATENATE(L28,J28))))))"),8.845160497)</f>
        <v>8.8451604970000002</v>
      </c>
      <c r="L28" s="81" t="s">
        <v>86</v>
      </c>
      <c r="M28" s="134">
        <f ca="1">IFERROR(__xludf.DUMMYFUNCTION("VALUE(IF(D28=""EUR"",C28,IF(D28=""USD"",GOOGLEFINANCE(CONCATENATE(L28,N28))*C28,IF(D28=E28,C28/GOOGLEFINANCE(CONCATENATE(N28,J28))))))"),8.99)</f>
        <v>8.99</v>
      </c>
      <c r="N28" s="81" t="s">
        <v>85</v>
      </c>
      <c r="O28" s="27"/>
    </row>
    <row r="29" spans="1:15" ht="15.75" customHeight="1" x14ac:dyDescent="0.15">
      <c r="A29" s="73" t="s">
        <v>581</v>
      </c>
      <c r="B29" s="74" t="s">
        <v>582</v>
      </c>
      <c r="C29" s="131" t="s">
        <v>811</v>
      </c>
      <c r="D29" s="96" t="s">
        <v>274</v>
      </c>
      <c r="E29" s="76" t="s">
        <v>274</v>
      </c>
      <c r="F29" s="77"/>
      <c r="G29" s="132" t="s">
        <v>581</v>
      </c>
      <c r="H29" s="133" t="s">
        <v>582</v>
      </c>
      <c r="I29" s="134" t="str">
        <f ca="1">IFERROR(__xludf.DUMMYFUNCTION("IF(D29=E29,C29,GOOGLEFINANCE(CONCATENATE(D29,E29))*C29)"),"79.00")</f>
        <v>79.00</v>
      </c>
      <c r="J29" s="135" t="s">
        <v>274</v>
      </c>
      <c r="K29" s="134">
        <f ca="1">IFERROR(__xludf.DUMMYFUNCTION("VALUE(IF(D29=""USD"",C29,IF(D29=""EUR"",C29/GOOGLEFINANCE(CONCATENATE(L29,N29)),IF(D29=E29,C29/GOOGLEFINANCE(CONCATENATE(L29,J29))))))"),10.44962487)</f>
        <v>10.449624869999999</v>
      </c>
      <c r="L29" s="81" t="s">
        <v>86</v>
      </c>
      <c r="M29" s="134">
        <f ca="1">IFERROR(__xludf.DUMMYFUNCTION("VALUE(IF(D29=""EUR"",C29,IF(D29=""USD"",GOOGLEFINANCE(CONCATENATE(L29,N29))*C29,IF(D29=E29,C29/GOOGLEFINANCE(CONCATENATE(N29,J29))))))"),10.62059926)</f>
        <v>10.620599260000001</v>
      </c>
      <c r="N29" s="81" t="s">
        <v>85</v>
      </c>
      <c r="O29" s="27"/>
    </row>
    <row r="30" spans="1:15" ht="15.75" customHeight="1" x14ac:dyDescent="0.15">
      <c r="A30" s="136" t="s">
        <v>586</v>
      </c>
      <c r="B30" s="137" t="s">
        <v>587</v>
      </c>
      <c r="C30" s="138"/>
      <c r="D30" s="139"/>
      <c r="E30" s="139" t="s">
        <v>277</v>
      </c>
      <c r="F30" s="77"/>
      <c r="G30" s="140" t="s">
        <v>586</v>
      </c>
      <c r="H30" s="141" t="s">
        <v>587</v>
      </c>
      <c r="I30" s="142" t="str">
        <f ca="1">IFERROR(__xludf.DUMMYFUNCTION("IFERROR(IF(D30=E30,C30,GOOGLEFINANCE(CONCATENATE(D30,E30))*C30),"""")"),"")</f>
        <v/>
      </c>
      <c r="J30" s="143" t="s">
        <v>277</v>
      </c>
      <c r="K30" s="142" t="str">
        <f ca="1">IFERROR(__xludf.DUMMYFUNCTION("IFERROR(VALUE(IF(D30=""USD"",C30,IF(D30=""EUR"",C30/GOOGLEFINANCE(CONCATENATE(L30,N30)),IF(D30=E30,C30/GOOGLEFINANCE(CONCATENATE(L30,J30)))))),"""")"),"")</f>
        <v/>
      </c>
      <c r="L30" s="144" t="s">
        <v>86</v>
      </c>
      <c r="M30" s="142" t="str">
        <f ca="1">IFERROR(__xludf.DUMMYFUNCTION("VALUE(IF(D30=""EUR"",C30,IF(D30=""USD"",GOOGLEFINANCE(CONCATENATE(L30,N30))*C30,IF(D30=E30,C30/GOOGLEFINANCE(CONCATENATE(N30,J30))))))"),"#VALUE!")</f>
        <v>#VALUE!</v>
      </c>
      <c r="N30" s="144" t="s">
        <v>85</v>
      </c>
      <c r="O30" s="27"/>
    </row>
    <row r="31" spans="1:15" ht="15.75" customHeight="1" x14ac:dyDescent="0.15">
      <c r="A31" s="136" t="s">
        <v>590</v>
      </c>
      <c r="B31" s="137" t="s">
        <v>591</v>
      </c>
      <c r="C31" s="138"/>
      <c r="D31" s="139"/>
      <c r="E31" s="139" t="s">
        <v>86</v>
      </c>
      <c r="F31" s="77"/>
      <c r="G31" s="140" t="s">
        <v>590</v>
      </c>
      <c r="H31" s="141" t="s">
        <v>591</v>
      </c>
      <c r="I31" s="147" t="str">
        <f ca="1">IFERROR(__xludf.DUMMYFUNCTION("IFERROR(IF(D30=E30,C30,GOOGLEFINANCE(CONCATENATE(D30,E30))*C30),"""")"),"")</f>
        <v/>
      </c>
      <c r="J31" s="143" t="s">
        <v>86</v>
      </c>
      <c r="K31" s="142" t="str">
        <f ca="1">IFERROR(__xludf.DUMMYFUNCTION("IFERROR(VALUE(IF(D31=""USD"",C31,IF(D31=""EUR"",C31/GOOGLEFINANCE(CONCATENATE(L31,N31)),IF(D31=E31,C31/GOOGLEFINANCE(CONCATENATE(L31,J31)))))),"""")"),"")</f>
        <v/>
      </c>
      <c r="L31" s="144" t="s">
        <v>86</v>
      </c>
      <c r="M31" s="142" t="str">
        <f ca="1">IFERROR(__xludf.DUMMYFUNCTION("VALUE(IF(D31=""EUR"",C31,IF(D31=""USD"",GOOGLEFINANCE(CONCATENATE(L31,N31))*C31,IF(D31=E31,C31/GOOGLEFINANCE(CONCATENATE(N31,J31))))))"),"#VALUE!")</f>
        <v>#VALUE!</v>
      </c>
      <c r="N31" s="144" t="s">
        <v>85</v>
      </c>
      <c r="O31" s="27"/>
    </row>
    <row r="32" spans="1:15" ht="15.75" customHeight="1" x14ac:dyDescent="0.15">
      <c r="A32" s="86" t="s">
        <v>71</v>
      </c>
      <c r="B32" s="87" t="s">
        <v>111</v>
      </c>
      <c r="C32" s="125"/>
      <c r="D32" s="89"/>
      <c r="E32" s="89" t="s">
        <v>112</v>
      </c>
      <c r="F32" s="77"/>
      <c r="G32" s="126" t="s">
        <v>71</v>
      </c>
      <c r="H32" s="130" t="s">
        <v>111</v>
      </c>
      <c r="I32" s="128"/>
      <c r="J32" s="129"/>
      <c r="K32" s="128"/>
      <c r="L32" s="94"/>
      <c r="M32" s="128"/>
      <c r="N32" s="94"/>
      <c r="O32" s="27"/>
    </row>
    <row r="33" spans="1:15" ht="15.75" customHeight="1" x14ac:dyDescent="0.15">
      <c r="A33" s="136" t="s">
        <v>723</v>
      </c>
      <c r="B33" s="137" t="s">
        <v>724</v>
      </c>
      <c r="C33" s="138"/>
      <c r="D33" s="139"/>
      <c r="E33" s="139" t="s">
        <v>86</v>
      </c>
      <c r="F33" s="77"/>
      <c r="G33" s="140" t="s">
        <v>723</v>
      </c>
      <c r="H33" s="141" t="s">
        <v>724</v>
      </c>
      <c r="I33" s="147" t="str">
        <f ca="1">IFERROR(__xludf.DUMMYFUNCTION("IFERROR(IF(D30=E30,C30,GOOGLEFINANCE(CONCATENATE(D30,E30))*C30),"""")"),"")</f>
        <v/>
      </c>
      <c r="J33" s="143" t="s">
        <v>86</v>
      </c>
      <c r="K33" s="142" t="str">
        <f ca="1">IFERROR(__xludf.DUMMYFUNCTION("IFERROR(VALUE(IF(D33=""USD"",C33,IF(D33=""EUR"",C33/GOOGLEFINANCE(CONCATENATE(L33,N33)),IF(D33=E33,C33/GOOGLEFINANCE(CONCATENATE(L33,J33)))))),"""")"),"")</f>
        <v/>
      </c>
      <c r="L33" s="144" t="s">
        <v>86</v>
      </c>
      <c r="M33" s="142" t="str">
        <f ca="1">IFERROR(__xludf.DUMMYFUNCTION("VALUE(IF(D33=""EUR"",C33,IF(D33=""USD"",GOOGLEFINANCE(CONCATENATE(L33,N33))*C33,IF(D33=E33,C33/GOOGLEFINANCE(CONCATENATE(N33,J33))))))"),"#VALUE!")</f>
        <v>#VALUE!</v>
      </c>
      <c r="N33" s="144" t="s">
        <v>85</v>
      </c>
      <c r="O33" s="27"/>
    </row>
    <row r="34" spans="1:15" ht="15.75" customHeight="1" x14ac:dyDescent="0.15">
      <c r="A34" s="73" t="s">
        <v>42</v>
      </c>
      <c r="B34" s="74" t="s">
        <v>113</v>
      </c>
      <c r="C34" s="131" t="s">
        <v>539</v>
      </c>
      <c r="D34" s="96" t="s">
        <v>85</v>
      </c>
      <c r="E34" s="76" t="s">
        <v>85</v>
      </c>
      <c r="F34" s="77"/>
      <c r="G34" s="132" t="s">
        <v>42</v>
      </c>
      <c r="H34" s="133" t="s">
        <v>113</v>
      </c>
      <c r="I34" s="134" t="str">
        <f ca="1">IFERROR(__xludf.DUMMYFUNCTION("IF(D34=E34,C34,GOOGLEFINANCE(CONCATENATE(D34,E34))*C34)"),"8.99")</f>
        <v>8.99</v>
      </c>
      <c r="J34" s="135" t="s">
        <v>85</v>
      </c>
      <c r="K34" s="134">
        <f ca="1">IFERROR(__xludf.DUMMYFUNCTION("VALUE(IF(D34=""USD"",C34,IF(D34=""EUR"",C34/GOOGLEFINANCE(CONCATENATE(L34,N34)),IF(D34=E34,C34/GOOGLEFINANCE(CONCATENATE(L34,J34))))))"),8.845160497)</f>
        <v>8.8451604970000002</v>
      </c>
      <c r="L34" s="81" t="s">
        <v>86</v>
      </c>
      <c r="M34" s="134">
        <f ca="1">IFERROR(__xludf.DUMMYFUNCTION("VALUE(IF(D34=""EUR"",C34,IF(D34=""USD"",GOOGLEFINANCE(CONCATENATE(L34,N34))*C34,IF(D34=E34,C34/GOOGLEFINANCE(CONCATENATE(N34,J34))))))"),8.99)</f>
        <v>8.99</v>
      </c>
      <c r="N34" s="81" t="s">
        <v>85</v>
      </c>
      <c r="O34" s="27"/>
    </row>
    <row r="35" spans="1:15" ht="15.75" customHeight="1" x14ac:dyDescent="0.15">
      <c r="A35" s="73" t="s">
        <v>32</v>
      </c>
      <c r="B35" s="74" t="s">
        <v>114</v>
      </c>
      <c r="C35" s="131" t="s">
        <v>539</v>
      </c>
      <c r="D35" s="96" t="s">
        <v>85</v>
      </c>
      <c r="E35" s="76" t="s">
        <v>85</v>
      </c>
      <c r="F35" s="77"/>
      <c r="G35" s="132" t="s">
        <v>32</v>
      </c>
      <c r="H35" s="133" t="s">
        <v>114</v>
      </c>
      <c r="I35" s="134" t="str">
        <f ca="1">IFERROR(__xludf.DUMMYFUNCTION("IF(D35=E35,C35,GOOGLEFINANCE(CONCATENATE(D35,E35))*C35)"),"8.99")</f>
        <v>8.99</v>
      </c>
      <c r="J35" s="135" t="s">
        <v>85</v>
      </c>
      <c r="K35" s="134">
        <f ca="1">IFERROR(__xludf.DUMMYFUNCTION("VALUE(IF(D35=""USD"",C35,IF(D35=""EUR"",C35/GOOGLEFINANCE(CONCATENATE(L35,N35)),IF(D35=E35,C35/GOOGLEFINANCE(CONCATENATE(L35,J35))))))"),8.845160497)</f>
        <v>8.8451604970000002</v>
      </c>
      <c r="L35" s="81" t="s">
        <v>86</v>
      </c>
      <c r="M35" s="134">
        <f ca="1">IFERROR(__xludf.DUMMYFUNCTION("VALUE(IF(D35=""EUR"",C35,IF(D35=""USD"",GOOGLEFINANCE(CONCATENATE(L35,N35))*C35,IF(D35=E35,C35/GOOGLEFINANCE(CONCATENATE(N35,J35))))))"),8.99)</f>
        <v>8.99</v>
      </c>
      <c r="N35" s="81" t="s">
        <v>85</v>
      </c>
      <c r="O35" s="27"/>
    </row>
    <row r="36" spans="1:15" ht="15.75" customHeight="1" x14ac:dyDescent="0.15">
      <c r="A36" s="86" t="s">
        <v>31</v>
      </c>
      <c r="B36" s="87" t="s">
        <v>115</v>
      </c>
      <c r="C36" s="125"/>
      <c r="D36" s="89"/>
      <c r="E36" s="89" t="s">
        <v>85</v>
      </c>
      <c r="F36" s="77"/>
      <c r="G36" s="126" t="s">
        <v>31</v>
      </c>
      <c r="H36" s="130" t="s">
        <v>115</v>
      </c>
      <c r="I36" s="128"/>
      <c r="J36" s="129"/>
      <c r="K36" s="128"/>
      <c r="L36" s="94"/>
      <c r="M36" s="128"/>
      <c r="N36" s="94"/>
      <c r="O36" s="27"/>
    </row>
    <row r="37" spans="1:15" ht="15.75" customHeight="1" x14ac:dyDescent="0.15">
      <c r="A37" s="86" t="s">
        <v>598</v>
      </c>
      <c r="B37" s="87" t="s">
        <v>599</v>
      </c>
      <c r="C37" s="125"/>
      <c r="D37" s="89"/>
      <c r="E37" s="89" t="s">
        <v>294</v>
      </c>
      <c r="F37" s="77"/>
      <c r="G37" s="126" t="s">
        <v>598</v>
      </c>
      <c r="H37" s="130" t="s">
        <v>599</v>
      </c>
      <c r="I37" s="128"/>
      <c r="J37" s="129"/>
      <c r="K37" s="128"/>
      <c r="L37" s="94"/>
      <c r="M37" s="128"/>
      <c r="N37" s="94"/>
      <c r="O37" s="27"/>
    </row>
    <row r="38" spans="1:15" ht="15.75" customHeight="1" x14ac:dyDescent="0.15">
      <c r="A38" s="86" t="s">
        <v>29</v>
      </c>
      <c r="B38" s="87" t="s">
        <v>116</v>
      </c>
      <c r="C38" s="125"/>
      <c r="D38" s="89"/>
      <c r="E38" s="89" t="s">
        <v>85</v>
      </c>
      <c r="F38" s="77"/>
      <c r="G38" s="126" t="s">
        <v>29</v>
      </c>
      <c r="H38" s="130" t="s">
        <v>116</v>
      </c>
      <c r="I38" s="128"/>
      <c r="J38" s="129"/>
      <c r="K38" s="128"/>
      <c r="L38" s="94"/>
      <c r="M38" s="128"/>
      <c r="N38" s="94"/>
      <c r="O38" s="27"/>
    </row>
    <row r="39" spans="1:15" ht="15.75" customHeight="1" x14ac:dyDescent="0.15">
      <c r="A39" s="86" t="s">
        <v>602</v>
      </c>
      <c r="B39" s="87" t="s">
        <v>296</v>
      </c>
      <c r="C39" s="125"/>
      <c r="D39" s="89"/>
      <c r="E39" s="89" t="s">
        <v>297</v>
      </c>
      <c r="F39" s="77"/>
      <c r="G39" s="126" t="s">
        <v>602</v>
      </c>
      <c r="H39" s="130" t="s">
        <v>296</v>
      </c>
      <c r="I39" s="128"/>
      <c r="J39" s="129"/>
      <c r="K39" s="128"/>
      <c r="L39" s="94"/>
      <c r="M39" s="128"/>
      <c r="N39" s="94"/>
      <c r="O39" s="27"/>
    </row>
    <row r="40" spans="1:15" ht="15.75" customHeight="1" x14ac:dyDescent="0.15">
      <c r="A40" s="73" t="s">
        <v>40</v>
      </c>
      <c r="B40" s="74" t="s">
        <v>117</v>
      </c>
      <c r="C40" s="131" t="s">
        <v>539</v>
      </c>
      <c r="D40" s="96" t="s">
        <v>85</v>
      </c>
      <c r="E40" s="76" t="s">
        <v>85</v>
      </c>
      <c r="F40" s="77"/>
      <c r="G40" s="132" t="s">
        <v>40</v>
      </c>
      <c r="H40" s="133" t="s">
        <v>117</v>
      </c>
      <c r="I40" s="134" t="str">
        <f ca="1">IFERROR(__xludf.DUMMYFUNCTION("IF(D40=E40,C40,GOOGLEFINANCE(CONCATENATE(D40,E40))*C40)"),"8.99")</f>
        <v>8.99</v>
      </c>
      <c r="J40" s="135" t="s">
        <v>85</v>
      </c>
      <c r="K40" s="134">
        <f ca="1">IFERROR(__xludf.DUMMYFUNCTION("VALUE(IF(D40=""USD"",C40,IF(D40=""EUR"",C40/GOOGLEFINANCE(CONCATENATE(L40,N40)),IF(D40=E40,C40/GOOGLEFINANCE(CONCATENATE(L40,J40))))))"),8.845160497)</f>
        <v>8.8451604970000002</v>
      </c>
      <c r="L40" s="81" t="s">
        <v>86</v>
      </c>
      <c r="M40" s="134">
        <f ca="1">IFERROR(__xludf.DUMMYFUNCTION("VALUE(IF(D40=""EUR"",C40,IF(D40=""USD"",GOOGLEFINANCE(CONCATENATE(L40,N40))*C40,IF(D40=E40,C40/GOOGLEFINANCE(CONCATENATE(N40,J40))))))"),8.99)</f>
        <v>8.99</v>
      </c>
      <c r="N40" s="81" t="s">
        <v>85</v>
      </c>
      <c r="O40" s="27"/>
    </row>
    <row r="41" spans="1:15" ht="13" x14ac:dyDescent="0.15">
      <c r="A41" s="136" t="s">
        <v>603</v>
      </c>
      <c r="B41" s="137" t="s">
        <v>604</v>
      </c>
      <c r="C41" s="138"/>
      <c r="D41" s="139"/>
      <c r="E41" s="139" t="s">
        <v>302</v>
      </c>
      <c r="F41" s="77"/>
      <c r="G41" s="140" t="s">
        <v>603</v>
      </c>
      <c r="H41" s="141" t="s">
        <v>604</v>
      </c>
      <c r="I41" s="147" t="str">
        <f ca="1">IFERROR(__xludf.DUMMYFUNCTION("IFERROR(IF(D30=E30,C30,GOOGLEFINANCE(CONCATENATE(D30,E30))*C30),"""")"),"")</f>
        <v/>
      </c>
      <c r="J41" s="143" t="s">
        <v>302</v>
      </c>
      <c r="K41" s="142" t="str">
        <f ca="1">IFERROR(__xludf.DUMMYFUNCTION("IFERROR(VALUE(IF(D41=""USD"",C41,IF(D41=""EUR"",C41/GOOGLEFINANCE(CONCATENATE(L41,N41)),IF(D41=E41,C41/GOOGLEFINANCE(CONCATENATE(L41,J41)))))),"""")"),"")</f>
        <v/>
      </c>
      <c r="L41" s="144" t="s">
        <v>86</v>
      </c>
      <c r="M41" s="142" t="str">
        <f ca="1">IFERROR(__xludf.DUMMYFUNCTION("VALUE(IF(D41=""EUR"",C41,IF(D41=""USD"",GOOGLEFINANCE(CONCATENATE(L41,N41))*C41,IF(D41=E41,C41/GOOGLEFINANCE(CONCATENATE(N41,J41))))))"),"#VALUE!")</f>
        <v>#VALUE!</v>
      </c>
      <c r="N41" s="144" t="s">
        <v>85</v>
      </c>
      <c r="O41" s="27"/>
    </row>
    <row r="42" spans="1:15" ht="13" x14ac:dyDescent="0.15">
      <c r="A42" s="136" t="s">
        <v>608</v>
      </c>
      <c r="B42" s="137" t="s">
        <v>306</v>
      </c>
      <c r="C42" s="138"/>
      <c r="D42" s="139"/>
      <c r="E42" s="139" t="s">
        <v>307</v>
      </c>
      <c r="F42" s="77"/>
      <c r="G42" s="140" t="s">
        <v>608</v>
      </c>
      <c r="H42" s="141" t="s">
        <v>306</v>
      </c>
      <c r="I42" s="147" t="str">
        <f ca="1">IFERROR(__xludf.DUMMYFUNCTION("IFERROR(IF(D30=E30,C30,GOOGLEFINANCE(CONCATENATE(D30,E30))*C30),"""")"),"")</f>
        <v/>
      </c>
      <c r="J42" s="143" t="s">
        <v>307</v>
      </c>
      <c r="K42" s="142" t="str">
        <f ca="1">IFERROR(__xludf.DUMMYFUNCTION("IFERROR(VALUE(IF(D42=""USD"",C42,IF(D42=""EUR"",C42/GOOGLEFINANCE(CONCATENATE(L42,N42)),IF(D42=E42,C42/GOOGLEFINANCE(CONCATENATE(L42,J42)))))),"""")"),"")</f>
        <v/>
      </c>
      <c r="L42" s="144" t="s">
        <v>86</v>
      </c>
      <c r="M42" s="142" t="str">
        <f ca="1">IFERROR(__xludf.DUMMYFUNCTION("VALUE(IF(D42=""EUR"",C42,IF(D42=""USD"",GOOGLEFINANCE(CONCATENATE(L42,N42))*C42,IF(D42=E42,C42/GOOGLEFINANCE(CONCATENATE(N42,J42))))))"),"#VALUE!")</f>
        <v>#VALUE!</v>
      </c>
      <c r="N42" s="144" t="s">
        <v>85</v>
      </c>
      <c r="O42" s="27"/>
    </row>
    <row r="43" spans="1:15" ht="13" x14ac:dyDescent="0.15">
      <c r="A43" s="86" t="s">
        <v>65</v>
      </c>
      <c r="B43" s="87" t="s">
        <v>118</v>
      </c>
      <c r="C43" s="125"/>
      <c r="D43" s="89"/>
      <c r="E43" s="89" t="s">
        <v>119</v>
      </c>
      <c r="F43" s="77"/>
      <c r="G43" s="126" t="s">
        <v>65</v>
      </c>
      <c r="H43" s="130" t="s">
        <v>118</v>
      </c>
      <c r="I43" s="128"/>
      <c r="J43" s="129"/>
      <c r="K43" s="128"/>
      <c r="L43" s="94"/>
      <c r="M43" s="128"/>
      <c r="N43" s="94"/>
      <c r="O43" s="27"/>
    </row>
    <row r="44" spans="1:15" ht="13" x14ac:dyDescent="0.15">
      <c r="A44" s="136" t="s">
        <v>72</v>
      </c>
      <c r="B44" s="137" t="s">
        <v>120</v>
      </c>
      <c r="C44" s="138"/>
      <c r="D44" s="139"/>
      <c r="E44" s="139" t="s">
        <v>121</v>
      </c>
      <c r="F44" s="77"/>
      <c r="G44" s="140" t="s">
        <v>72</v>
      </c>
      <c r="H44" s="141" t="s">
        <v>120</v>
      </c>
      <c r="I44" s="142">
        <f ca="1">IFERROR(__xludf.DUMMYFUNCTION("IF(D44=E44,C44,GOOGLEFINANCE(CONCATENATE(D44,E44))*C44)"),0)</f>
        <v>0</v>
      </c>
      <c r="J44" s="143" t="s">
        <v>121</v>
      </c>
      <c r="K44" s="142" t="str">
        <f ca="1">IFERROR(__xludf.DUMMYFUNCTION("IFERROR(VALUE(IF(D44=""USD"",C44,IF(D44=""EUR"",C44/GOOGLEFINANCE(CONCATENATE(L44,N44)),IF(D44=E44,C44/GOOGLEFINANCE(CONCATENATE(L44,J44)))))),"""")"),"")</f>
        <v/>
      </c>
      <c r="L44" s="144" t="s">
        <v>86</v>
      </c>
      <c r="M44" s="142" t="str">
        <f ca="1">IFERROR(__xludf.DUMMYFUNCTION("VALUE(IF(D44=""EUR"",C44,IF(D44=""USD"",GOOGLEFINANCE(CONCATENATE(L44,N44))*C44,IF(D44=E44,C44/GOOGLEFINANCE(CONCATENATE(N44,J44))))))"),"#VALUE!")</f>
        <v>#VALUE!</v>
      </c>
      <c r="N44" s="144" t="s">
        <v>85</v>
      </c>
      <c r="O44" s="27"/>
    </row>
    <row r="45" spans="1:15" ht="13" x14ac:dyDescent="0.15">
      <c r="A45" s="73" t="s">
        <v>626</v>
      </c>
      <c r="B45" s="74" t="s">
        <v>627</v>
      </c>
      <c r="C45" s="131" t="s">
        <v>539</v>
      </c>
      <c r="D45" s="96" t="s">
        <v>85</v>
      </c>
      <c r="E45" s="76" t="s">
        <v>328</v>
      </c>
      <c r="F45" s="77"/>
      <c r="G45" s="132" t="s">
        <v>626</v>
      </c>
      <c r="H45" s="133" t="s">
        <v>627</v>
      </c>
      <c r="I45" s="134">
        <f ca="1">IFERROR(__xludf.DUMMYFUNCTION("IF(D45=E45,C45,GOOGLEFINANCE(CONCATENATE(D45,E45))*C45)"),1277.572983258)</f>
        <v>1277.572983258</v>
      </c>
      <c r="J45" s="145" t="s">
        <v>328</v>
      </c>
      <c r="K45" s="134">
        <f ca="1">IFERROR(__xludf.DUMMYFUNCTION("VALUE(IF(D45=""USD"",C45,IF(D45=""EUR"",C45/GOOGLEFINANCE(CONCATENATE(L45,N45)),IF(D45=E45,C45/GOOGLEFINANCE(CONCATENATE(L45,J45))))))"),8.845160497)</f>
        <v>8.8451604970000002</v>
      </c>
      <c r="L45" s="81" t="s">
        <v>86</v>
      </c>
      <c r="M45" s="134">
        <f ca="1">IFERROR(__xludf.DUMMYFUNCTION("VALUE(IF(D45=""EUR"",C45,IF(D45=""USD"",GOOGLEFINANCE(CONCATENATE(L45,N45))*C45,IF(D45=E45,C45/GOOGLEFINANCE(CONCATENATE(N45,J45))))))"),8.99)</f>
        <v>8.99</v>
      </c>
      <c r="N45" s="81" t="s">
        <v>85</v>
      </c>
      <c r="O45" s="27"/>
    </row>
    <row r="46" spans="1:15" ht="13" x14ac:dyDescent="0.15">
      <c r="A46" s="86" t="s">
        <v>82</v>
      </c>
      <c r="B46" s="87" t="s">
        <v>122</v>
      </c>
      <c r="C46" s="125"/>
      <c r="D46" s="89"/>
      <c r="E46" s="89" t="s">
        <v>123</v>
      </c>
      <c r="F46" s="77"/>
      <c r="G46" s="126" t="s">
        <v>82</v>
      </c>
      <c r="H46" s="130" t="s">
        <v>122</v>
      </c>
      <c r="I46" s="128"/>
      <c r="J46" s="129"/>
      <c r="K46" s="128"/>
      <c r="L46" s="94"/>
      <c r="M46" s="128"/>
      <c r="N46" s="94"/>
      <c r="O46" s="27"/>
    </row>
    <row r="47" spans="1:15" ht="13" x14ac:dyDescent="0.15">
      <c r="A47" s="86" t="s">
        <v>76</v>
      </c>
      <c r="B47" s="87" t="s">
        <v>124</v>
      </c>
      <c r="C47" s="125"/>
      <c r="D47" s="89"/>
      <c r="E47" s="89" t="s">
        <v>125</v>
      </c>
      <c r="F47" s="77"/>
      <c r="G47" s="126" t="s">
        <v>76</v>
      </c>
      <c r="H47" s="130" t="s">
        <v>124</v>
      </c>
      <c r="I47" s="128"/>
      <c r="J47" s="129"/>
      <c r="K47" s="128"/>
      <c r="L47" s="94"/>
      <c r="M47" s="128"/>
      <c r="N47" s="94"/>
      <c r="O47" s="27"/>
    </row>
    <row r="48" spans="1:15" ht="13" x14ac:dyDescent="0.15">
      <c r="A48" s="86" t="s">
        <v>625</v>
      </c>
      <c r="B48" s="87" t="s">
        <v>324</v>
      </c>
      <c r="C48" s="125"/>
      <c r="D48" s="89"/>
      <c r="E48" s="89" t="s">
        <v>325</v>
      </c>
      <c r="F48" s="77"/>
      <c r="G48" s="126" t="s">
        <v>625</v>
      </c>
      <c r="H48" s="130" t="s">
        <v>324</v>
      </c>
      <c r="I48" s="128"/>
      <c r="J48" s="129"/>
      <c r="K48" s="128"/>
      <c r="L48" s="94"/>
      <c r="M48" s="128"/>
      <c r="N48" s="94"/>
      <c r="O48" s="27"/>
    </row>
    <row r="49" spans="1:15" ht="13" x14ac:dyDescent="0.15">
      <c r="A49" s="86" t="s">
        <v>623</v>
      </c>
      <c r="B49" s="87" t="s">
        <v>624</v>
      </c>
      <c r="C49" s="125"/>
      <c r="D49" s="89"/>
      <c r="E49" s="89" t="s">
        <v>322</v>
      </c>
      <c r="F49" s="77"/>
      <c r="G49" s="126" t="s">
        <v>623</v>
      </c>
      <c r="H49" s="130" t="s">
        <v>624</v>
      </c>
      <c r="I49" s="128"/>
      <c r="J49" s="129"/>
      <c r="K49" s="128"/>
      <c r="L49" s="94"/>
      <c r="M49" s="128"/>
      <c r="N49" s="94"/>
      <c r="O49" s="27"/>
    </row>
    <row r="50" spans="1:15" ht="13" x14ac:dyDescent="0.15">
      <c r="A50" s="86" t="s">
        <v>30</v>
      </c>
      <c r="B50" s="87" t="s">
        <v>126</v>
      </c>
      <c r="C50" s="125"/>
      <c r="D50" s="89"/>
      <c r="E50" s="89" t="s">
        <v>85</v>
      </c>
      <c r="F50" s="77"/>
      <c r="G50" s="126" t="s">
        <v>30</v>
      </c>
      <c r="H50" s="130" t="s">
        <v>126</v>
      </c>
      <c r="I50" s="128"/>
      <c r="J50" s="129"/>
      <c r="K50" s="128"/>
      <c r="L50" s="94"/>
      <c r="M50" s="128"/>
      <c r="N50" s="94"/>
      <c r="O50" s="27"/>
    </row>
    <row r="51" spans="1:15" ht="13" x14ac:dyDescent="0.15">
      <c r="A51" s="86" t="s">
        <v>38</v>
      </c>
      <c r="B51" s="87" t="s">
        <v>127</v>
      </c>
      <c r="C51" s="125"/>
      <c r="D51" s="89"/>
      <c r="E51" s="89" t="s">
        <v>128</v>
      </c>
      <c r="F51" s="77"/>
      <c r="G51" s="126" t="s">
        <v>38</v>
      </c>
      <c r="H51" s="130" t="s">
        <v>127</v>
      </c>
      <c r="I51" s="128"/>
      <c r="J51" s="129"/>
      <c r="K51" s="128"/>
      <c r="L51" s="94"/>
      <c r="M51" s="128"/>
      <c r="N51" s="94"/>
    </row>
    <row r="52" spans="1:15" ht="13" x14ac:dyDescent="0.15">
      <c r="A52" s="86" t="s">
        <v>34</v>
      </c>
      <c r="B52" s="87" t="s">
        <v>129</v>
      </c>
      <c r="C52" s="125"/>
      <c r="D52" s="89"/>
      <c r="E52" s="89" t="s">
        <v>85</v>
      </c>
      <c r="F52" s="77"/>
      <c r="G52" s="126" t="s">
        <v>34</v>
      </c>
      <c r="H52" s="130" t="s">
        <v>129</v>
      </c>
      <c r="I52" s="128"/>
      <c r="J52" s="129"/>
      <c r="K52" s="128"/>
      <c r="L52" s="94"/>
      <c r="M52" s="128"/>
      <c r="N52" s="94"/>
    </row>
    <row r="53" spans="1:15" ht="13" x14ac:dyDescent="0.15">
      <c r="A53" s="136" t="s">
        <v>628</v>
      </c>
      <c r="B53" s="137" t="s">
        <v>629</v>
      </c>
      <c r="C53" s="138"/>
      <c r="D53" s="139"/>
      <c r="E53" s="139" t="s">
        <v>333</v>
      </c>
      <c r="F53" s="77"/>
      <c r="G53" s="140" t="s">
        <v>628</v>
      </c>
      <c r="H53" s="141" t="s">
        <v>629</v>
      </c>
      <c r="I53" s="147" t="str">
        <f ca="1">IFERROR(__xludf.DUMMYFUNCTION("IFERROR(IF(D30=E30,C30,GOOGLEFINANCE(CONCATENATE(D30,E30))*C30),"""")"),"")</f>
        <v/>
      </c>
      <c r="J53" s="143" t="s">
        <v>333</v>
      </c>
      <c r="K53" s="142" t="str">
        <f ca="1">IFERROR(__xludf.DUMMYFUNCTION("IFERROR(VALUE(IF(D53=""USD"",C53,IF(D53=""EUR"",C53/GOOGLEFINANCE(CONCATENATE(L53,N53)),IF(D53=E53,C53/GOOGLEFINANCE(CONCATENATE(L53,J53)))))),"""")"),"")</f>
        <v/>
      </c>
      <c r="L53" s="144"/>
      <c r="M53" s="142" t="str">
        <f ca="1">IFERROR(__xludf.DUMMYFUNCTION("VALUE(IF(D53=""EUR"",C53,IF(D53=""USD"",GOOGLEFINANCE(CONCATENATE(L53,N53))*C53,IF(D53=E53,C53/GOOGLEFINANCE(CONCATENATE(N53,J53))))))"),"#VALUE!")</f>
        <v>#VALUE!</v>
      </c>
      <c r="N53" s="144"/>
    </row>
    <row r="54" spans="1:15" ht="13" x14ac:dyDescent="0.15">
      <c r="A54" s="86" t="s">
        <v>67</v>
      </c>
      <c r="B54" s="87" t="s">
        <v>130</v>
      </c>
      <c r="C54" s="125"/>
      <c r="D54" s="89"/>
      <c r="E54" s="89" t="s">
        <v>131</v>
      </c>
      <c r="F54" s="77"/>
      <c r="G54" s="126" t="s">
        <v>67</v>
      </c>
      <c r="H54" s="130" t="s">
        <v>130</v>
      </c>
      <c r="I54" s="128"/>
      <c r="J54" s="129"/>
      <c r="K54" s="128"/>
      <c r="L54" s="94"/>
      <c r="M54" s="128"/>
      <c r="N54" s="94"/>
    </row>
    <row r="55" spans="1:15" ht="13" x14ac:dyDescent="0.15">
      <c r="A55" s="86" t="s">
        <v>630</v>
      </c>
      <c r="B55" s="87" t="s">
        <v>631</v>
      </c>
      <c r="C55" s="125"/>
      <c r="D55" s="89"/>
      <c r="E55" s="89" t="s">
        <v>336</v>
      </c>
      <c r="F55" s="77"/>
      <c r="G55" s="126" t="s">
        <v>630</v>
      </c>
      <c r="H55" s="130" t="s">
        <v>631</v>
      </c>
      <c r="I55" s="128"/>
      <c r="J55" s="129"/>
      <c r="K55" s="128"/>
      <c r="L55" s="94"/>
      <c r="M55" s="128"/>
      <c r="N55" s="94"/>
    </row>
    <row r="56" spans="1:15" ht="13" x14ac:dyDescent="0.15">
      <c r="A56" s="86" t="s">
        <v>49</v>
      </c>
      <c r="B56" s="87" t="s">
        <v>132</v>
      </c>
      <c r="C56" s="125"/>
      <c r="D56" s="89"/>
      <c r="E56" s="89" t="s">
        <v>133</v>
      </c>
      <c r="F56" s="77"/>
      <c r="G56" s="126" t="s">
        <v>49</v>
      </c>
      <c r="H56" s="130" t="s">
        <v>132</v>
      </c>
      <c r="I56" s="128"/>
      <c r="J56" s="129"/>
      <c r="K56" s="128"/>
      <c r="L56" s="94"/>
      <c r="M56" s="128"/>
      <c r="N56" s="94"/>
    </row>
    <row r="57" spans="1:15" ht="13" x14ac:dyDescent="0.15">
      <c r="A57" s="86" t="s">
        <v>635</v>
      </c>
      <c r="B57" s="87" t="s">
        <v>636</v>
      </c>
      <c r="C57" s="125"/>
      <c r="D57" s="89"/>
      <c r="E57" s="89" t="s">
        <v>341</v>
      </c>
      <c r="F57" s="77"/>
      <c r="G57" s="126" t="s">
        <v>635</v>
      </c>
      <c r="H57" s="130" t="s">
        <v>636</v>
      </c>
      <c r="I57" s="128"/>
      <c r="J57" s="129"/>
      <c r="K57" s="128"/>
      <c r="L57" s="94"/>
      <c r="M57" s="128"/>
      <c r="N57" s="94"/>
    </row>
    <row r="58" spans="1:15" ht="13" x14ac:dyDescent="0.15">
      <c r="A58" s="86" t="s">
        <v>647</v>
      </c>
      <c r="B58" s="87" t="s">
        <v>648</v>
      </c>
      <c r="C58" s="125"/>
      <c r="D58" s="89"/>
      <c r="E58" s="89" t="s">
        <v>352</v>
      </c>
      <c r="F58" s="77"/>
      <c r="G58" s="126" t="s">
        <v>647</v>
      </c>
      <c r="H58" s="130" t="s">
        <v>648</v>
      </c>
      <c r="I58" s="128"/>
      <c r="J58" s="129"/>
      <c r="K58" s="128"/>
      <c r="L58" s="94"/>
      <c r="M58" s="128"/>
      <c r="N58" s="94"/>
    </row>
    <row r="59" spans="1:15" ht="13" x14ac:dyDescent="0.15">
      <c r="A59" s="86" t="s">
        <v>640</v>
      </c>
      <c r="B59" s="87" t="s">
        <v>641</v>
      </c>
      <c r="C59" s="125"/>
      <c r="D59" s="89"/>
      <c r="E59" s="89" t="s">
        <v>344</v>
      </c>
      <c r="F59" s="77"/>
      <c r="G59" s="126" t="s">
        <v>640</v>
      </c>
      <c r="H59" s="130" t="s">
        <v>641</v>
      </c>
      <c r="I59" s="128"/>
      <c r="J59" s="129"/>
      <c r="K59" s="128"/>
      <c r="L59" s="94"/>
      <c r="M59" s="128"/>
      <c r="N59" s="94"/>
    </row>
    <row r="60" spans="1:15" ht="13" x14ac:dyDescent="0.15">
      <c r="A60" s="86" t="s">
        <v>650</v>
      </c>
      <c r="B60" s="87" t="s">
        <v>651</v>
      </c>
      <c r="C60" s="125"/>
      <c r="D60" s="89"/>
      <c r="E60" s="89" t="s">
        <v>357</v>
      </c>
      <c r="F60" s="77"/>
      <c r="G60" s="126" t="s">
        <v>650</v>
      </c>
      <c r="H60" s="130" t="s">
        <v>651</v>
      </c>
      <c r="I60" s="128"/>
      <c r="J60" s="129"/>
      <c r="K60" s="128"/>
      <c r="L60" s="94"/>
      <c r="M60" s="128"/>
      <c r="N60" s="94"/>
    </row>
    <row r="61" spans="1:15" ht="13" x14ac:dyDescent="0.15">
      <c r="A61" s="73" t="s">
        <v>44</v>
      </c>
      <c r="B61" s="74" t="s">
        <v>134</v>
      </c>
      <c r="C61" s="131" t="s">
        <v>539</v>
      </c>
      <c r="D61" s="96" t="s">
        <v>85</v>
      </c>
      <c r="E61" s="76" t="s">
        <v>85</v>
      </c>
      <c r="F61" s="77"/>
      <c r="G61" s="132" t="s">
        <v>44</v>
      </c>
      <c r="H61" s="133" t="s">
        <v>134</v>
      </c>
      <c r="I61" s="134" t="str">
        <f ca="1">IFERROR(__xludf.DUMMYFUNCTION("IF(D61=E61,C61,GOOGLEFINANCE(CONCATENATE(D61,E61))*C61)"),"8.99")</f>
        <v>8.99</v>
      </c>
      <c r="J61" s="135" t="s">
        <v>85</v>
      </c>
      <c r="K61" s="134">
        <f ca="1">IFERROR(__xludf.DUMMYFUNCTION("VALUE(IF(D61=""USD"",C61,IF(D61=""EUR"",C61/GOOGLEFINANCE(CONCATENATE(L61,N61)),IF(D61=E61,C61/GOOGLEFINANCE(CONCATENATE(L61,J61))))))"),8.845160497)</f>
        <v>8.8451604970000002</v>
      </c>
      <c r="L61" s="81" t="s">
        <v>86</v>
      </c>
      <c r="M61" s="134">
        <f ca="1">IFERROR(__xludf.DUMMYFUNCTION("VALUE(IF(D61=""EUR"",C61,IF(D61=""USD"",GOOGLEFINANCE(CONCATENATE(L61,N61))*C61,IF(D61=E61,C61/GOOGLEFINANCE(CONCATENATE(N61,J61))))))"),8.99)</f>
        <v>8.99</v>
      </c>
      <c r="N61" s="81" t="s">
        <v>85</v>
      </c>
    </row>
    <row r="62" spans="1:15" ht="13" x14ac:dyDescent="0.15">
      <c r="A62" s="73" t="s">
        <v>43</v>
      </c>
      <c r="B62" s="74" t="s">
        <v>135</v>
      </c>
      <c r="C62" s="131" t="s">
        <v>539</v>
      </c>
      <c r="D62" s="96" t="s">
        <v>85</v>
      </c>
      <c r="E62" s="76" t="s">
        <v>85</v>
      </c>
      <c r="F62" s="77"/>
      <c r="G62" s="132" t="s">
        <v>43</v>
      </c>
      <c r="H62" s="133" t="s">
        <v>135</v>
      </c>
      <c r="I62" s="134" t="str">
        <f ca="1">IFERROR(__xludf.DUMMYFUNCTION("IF(D62=E62,C62,GOOGLEFINANCE(CONCATENATE(D62,E62))*C62)"),"8.99")</f>
        <v>8.99</v>
      </c>
      <c r="J62" s="135" t="s">
        <v>85</v>
      </c>
      <c r="K62" s="134">
        <f ca="1">IFERROR(__xludf.DUMMYFUNCTION("VALUE(IF(D62=""USD"",C62,IF(D62=""EUR"",C62/GOOGLEFINANCE(CONCATENATE(L62,N62)),IF(D62=E62,C62/GOOGLEFINANCE(CONCATENATE(L62,J62))))))"),8.845160497)</f>
        <v>8.8451604970000002</v>
      </c>
      <c r="L62" s="81" t="s">
        <v>86</v>
      </c>
      <c r="M62" s="134">
        <f ca="1">IFERROR(__xludf.DUMMYFUNCTION("VALUE(IF(D62=""EUR"",C62,IF(D62=""USD"",GOOGLEFINANCE(CONCATENATE(L62,N62))*C62,IF(D62=E62,C62/GOOGLEFINANCE(CONCATENATE(N62,J62))))))"),8.99)</f>
        <v>8.99</v>
      </c>
      <c r="N62" s="81" t="s">
        <v>85</v>
      </c>
    </row>
    <row r="63" spans="1:15" ht="13" x14ac:dyDescent="0.15">
      <c r="A63" s="86" t="s">
        <v>653</v>
      </c>
      <c r="B63" s="87" t="s">
        <v>654</v>
      </c>
      <c r="C63" s="125"/>
      <c r="D63" s="89"/>
      <c r="E63" s="89" t="s">
        <v>85</v>
      </c>
      <c r="F63" s="77"/>
      <c r="G63" s="126" t="s">
        <v>653</v>
      </c>
      <c r="H63" s="130" t="s">
        <v>654</v>
      </c>
      <c r="I63" s="128"/>
      <c r="J63" s="129"/>
      <c r="K63" s="128"/>
      <c r="L63" s="94"/>
      <c r="M63" s="128"/>
      <c r="N63" s="94"/>
    </row>
    <row r="64" spans="1:15" ht="13" x14ac:dyDescent="0.15">
      <c r="A64" s="86" t="s">
        <v>655</v>
      </c>
      <c r="B64" s="87" t="s">
        <v>656</v>
      </c>
      <c r="C64" s="125"/>
      <c r="D64" s="89"/>
      <c r="E64" s="89" t="s">
        <v>381</v>
      </c>
      <c r="F64" s="77"/>
      <c r="G64" s="126" t="s">
        <v>655</v>
      </c>
      <c r="H64" s="130" t="s">
        <v>656</v>
      </c>
      <c r="I64" s="128"/>
      <c r="J64" s="129"/>
      <c r="K64" s="128"/>
      <c r="L64" s="94"/>
      <c r="M64" s="128"/>
      <c r="N64" s="94"/>
    </row>
    <row r="65" spans="1:14" ht="13" x14ac:dyDescent="0.15">
      <c r="A65" s="73" t="s">
        <v>73</v>
      </c>
      <c r="B65" s="74" t="s">
        <v>136</v>
      </c>
      <c r="C65" s="148" t="s">
        <v>812</v>
      </c>
      <c r="D65" s="149" t="s">
        <v>137</v>
      </c>
      <c r="E65" s="150" t="s">
        <v>137</v>
      </c>
      <c r="F65" s="77"/>
      <c r="G65" s="132" t="s">
        <v>73</v>
      </c>
      <c r="H65" s="133" t="s">
        <v>136</v>
      </c>
      <c r="I65" s="134" t="str">
        <f ca="1">IFERROR(__xludf.DUMMYFUNCTION("IF(D65=E65,C65,GOOGLEFINANCE(CONCATENATE(D65,E65))*C65)"),"59.99")</f>
        <v>59.99</v>
      </c>
      <c r="J65" s="151" t="s">
        <v>137</v>
      </c>
      <c r="K65" s="134">
        <f ca="1">IFERROR(__xludf.DUMMYFUNCTION("VALUE(IF(D65=""USD"",C65,IF(D65=""EUR"",C65/GOOGLEFINANCE(CONCATENATE(L65,N65)),IF(D65=E65,C65/GOOGLEFINANCE(CONCATENATE(L65,J65))))))"),12.66146053)</f>
        <v>12.661460529999999</v>
      </c>
      <c r="L65" s="81" t="s">
        <v>86</v>
      </c>
      <c r="M65" s="134">
        <f ca="1">IFERROR(__xludf.DUMMYFUNCTION("VALUE(IF(D65=""EUR"",C65,IF(D65=""USD"",GOOGLEFINANCE(CONCATENATE(L65,N65))*C65,IF(D65=E65,C65/GOOGLEFINANCE(CONCATENATE(N65,J65))))))"),12.86812258)</f>
        <v>12.86812258</v>
      </c>
      <c r="N65" s="81" t="s">
        <v>85</v>
      </c>
    </row>
    <row r="66" spans="1:14" ht="13" x14ac:dyDescent="0.15">
      <c r="A66" s="86" t="s">
        <v>657</v>
      </c>
      <c r="B66" s="87" t="s">
        <v>385</v>
      </c>
      <c r="C66" s="125"/>
      <c r="D66" s="89"/>
      <c r="E66" s="89" t="s">
        <v>85</v>
      </c>
      <c r="F66" s="77"/>
      <c r="G66" s="126" t="s">
        <v>657</v>
      </c>
      <c r="H66" s="130" t="s">
        <v>385</v>
      </c>
      <c r="I66" s="128"/>
      <c r="J66" s="129"/>
      <c r="K66" s="128"/>
      <c r="L66" s="94"/>
      <c r="M66" s="128"/>
      <c r="N66" s="94"/>
    </row>
    <row r="67" spans="1:14" ht="13" x14ac:dyDescent="0.15">
      <c r="A67" s="86" t="s">
        <v>658</v>
      </c>
      <c r="B67" s="87" t="s">
        <v>387</v>
      </c>
      <c r="C67" s="125"/>
      <c r="D67" s="89"/>
      <c r="E67" s="89" t="s">
        <v>388</v>
      </c>
      <c r="F67" s="77"/>
      <c r="G67" s="126" t="s">
        <v>658</v>
      </c>
      <c r="H67" s="130" t="s">
        <v>387</v>
      </c>
      <c r="I67" s="128"/>
      <c r="J67" s="129"/>
      <c r="K67" s="128"/>
      <c r="L67" s="94"/>
      <c r="M67" s="128"/>
      <c r="N67" s="94"/>
    </row>
    <row r="68" spans="1:14" ht="13" x14ac:dyDescent="0.15">
      <c r="A68" s="73" t="s">
        <v>58</v>
      </c>
      <c r="B68" s="74" t="s">
        <v>138</v>
      </c>
      <c r="C68" s="131" t="s">
        <v>813</v>
      </c>
      <c r="D68" s="96" t="s">
        <v>139</v>
      </c>
      <c r="E68" s="76" t="s">
        <v>139</v>
      </c>
      <c r="F68" s="77"/>
      <c r="G68" s="132" t="s">
        <v>58</v>
      </c>
      <c r="H68" s="133" t="s">
        <v>138</v>
      </c>
      <c r="I68" s="134" t="str">
        <f ca="1">IFERROR(__xludf.DUMMYFUNCTION("IF(D68=E68,C68,GOOGLEFINANCE(CONCATENATE(D68,E68))*C68)"),"149.00")</f>
        <v>149.00</v>
      </c>
      <c r="J68" s="135" t="s">
        <v>139</v>
      </c>
      <c r="K68" s="134">
        <f ca="1">IFERROR(__xludf.DUMMYFUNCTION("VALUE(IF(D68=""USD"",C68,IF(D68=""EUR"",C68/GOOGLEFINANCE(CONCATENATE(L68,N68)),IF(D68=E68,C68/GOOGLEFINANCE(CONCATENATE(L68,J68))))))"),7.462791224)</f>
        <v>7.4627912240000001</v>
      </c>
      <c r="L68" s="81" t="s">
        <v>86</v>
      </c>
      <c r="M68" s="134">
        <f ca="1">IFERROR(__xludf.DUMMYFUNCTION("VALUE(IF(D68=""EUR"",C68,IF(D68=""USD"",GOOGLEFINANCE(CONCATENATE(L68,N68))*C68,IF(D68=E68,C68/GOOGLEFINANCE(CONCATENATE(N68,J68))))))"),7.584646436)</f>
        <v>7.5846464359999999</v>
      </c>
      <c r="N68" s="81" t="s">
        <v>85</v>
      </c>
    </row>
    <row r="69" spans="1:14" ht="13" x14ac:dyDescent="0.15">
      <c r="A69" s="73" t="s">
        <v>51</v>
      </c>
      <c r="B69" s="74" t="s">
        <v>140</v>
      </c>
      <c r="C69" s="131" t="s">
        <v>539</v>
      </c>
      <c r="D69" s="96" t="s">
        <v>85</v>
      </c>
      <c r="E69" s="76" t="s">
        <v>141</v>
      </c>
      <c r="F69" s="77"/>
      <c r="G69" s="132" t="s">
        <v>51</v>
      </c>
      <c r="H69" s="133" t="s">
        <v>140</v>
      </c>
      <c r="I69" s="134">
        <f ca="1">IFERROR(__xludf.DUMMYFUNCTION("IF(D69=E69,C69,GOOGLEFINANCE(CONCATENATE(D69,E69))*C69)"),169.9500239718)</f>
        <v>169.95002397179999</v>
      </c>
      <c r="J69" s="145" t="s">
        <v>141</v>
      </c>
      <c r="K69" s="134">
        <f ca="1">IFERROR(__xludf.DUMMYFUNCTION("VALUE(IF(D69=""USD"",C69,IF(D69=""EUR"",C69/GOOGLEFINANCE(CONCATENATE(L69,N69)),IF(D69=E69,C69/GOOGLEFINANCE(CONCATENATE(L69,J69))))))"),8.845160497)</f>
        <v>8.8451604970000002</v>
      </c>
      <c r="L69" s="81" t="s">
        <v>86</v>
      </c>
      <c r="M69" s="134">
        <f ca="1">IFERROR(__xludf.DUMMYFUNCTION("VALUE(IF(D69=""EUR"",C69,IF(D69=""USD"",GOOGLEFINANCE(CONCATENATE(L69,N69))*C69,IF(D69=E69,C69/GOOGLEFINANCE(CONCATENATE(N69,J69))))))"),8.99)</f>
        <v>8.99</v>
      </c>
      <c r="N69" s="81" t="s">
        <v>85</v>
      </c>
    </row>
    <row r="70" spans="1:14" ht="13" x14ac:dyDescent="0.15">
      <c r="A70" s="73" t="s">
        <v>55</v>
      </c>
      <c r="B70" s="74" t="s">
        <v>142</v>
      </c>
      <c r="C70" s="131" t="s">
        <v>539</v>
      </c>
      <c r="D70" s="96" t="s">
        <v>85</v>
      </c>
      <c r="E70" s="76" t="s">
        <v>85</v>
      </c>
      <c r="F70" s="77"/>
      <c r="G70" s="132" t="s">
        <v>55</v>
      </c>
      <c r="H70" s="133" t="s">
        <v>142</v>
      </c>
      <c r="I70" s="134" t="str">
        <f ca="1">IFERROR(__xludf.DUMMYFUNCTION("IF(D70=E70,C70,GOOGLEFINANCE(CONCATENATE(D70,E70))*C70)"),"8.99")</f>
        <v>8.99</v>
      </c>
      <c r="J70" s="135" t="s">
        <v>85</v>
      </c>
      <c r="K70" s="134">
        <f ca="1">IFERROR(__xludf.DUMMYFUNCTION("VALUE(IF(D70=""USD"",C70,IF(D70=""EUR"",C70/GOOGLEFINANCE(CONCATENATE(L70,N70)),IF(D70=E70,C70/GOOGLEFINANCE(CONCATENATE(L70,J70))))))"),8.845160497)</f>
        <v>8.8451604970000002</v>
      </c>
      <c r="L70" s="81" t="s">
        <v>86</v>
      </c>
      <c r="M70" s="134">
        <f ca="1">IFERROR(__xludf.DUMMYFUNCTION("VALUE(IF(D70=""EUR"",C70,IF(D70=""USD"",GOOGLEFINANCE(CONCATENATE(L70,N70))*C70,IF(D70=E70,C70/GOOGLEFINANCE(CONCATENATE(N70,J70))))))"),8.99)</f>
        <v>8.99</v>
      </c>
      <c r="N70" s="81" t="s">
        <v>85</v>
      </c>
    </row>
    <row r="71" spans="1:14" ht="13" x14ac:dyDescent="0.15">
      <c r="A71" s="86" t="s">
        <v>665</v>
      </c>
      <c r="B71" s="87" t="s">
        <v>666</v>
      </c>
      <c r="C71" s="125"/>
      <c r="D71" s="89"/>
      <c r="E71" s="89" t="s">
        <v>667</v>
      </c>
      <c r="F71" s="77"/>
      <c r="G71" s="126" t="s">
        <v>665</v>
      </c>
      <c r="H71" s="130" t="s">
        <v>666</v>
      </c>
      <c r="I71" s="128"/>
      <c r="J71" s="129"/>
      <c r="K71" s="128"/>
      <c r="L71" s="94"/>
      <c r="M71" s="128"/>
      <c r="N71" s="94"/>
    </row>
    <row r="72" spans="1:14" ht="13" x14ac:dyDescent="0.15">
      <c r="A72" s="86" t="s">
        <v>668</v>
      </c>
      <c r="B72" s="87" t="s">
        <v>394</v>
      </c>
      <c r="C72" s="125"/>
      <c r="D72" s="89"/>
      <c r="E72" s="89" t="s">
        <v>395</v>
      </c>
      <c r="F72" s="77"/>
      <c r="G72" s="126" t="s">
        <v>668</v>
      </c>
      <c r="H72" s="130" t="s">
        <v>394</v>
      </c>
      <c r="I72" s="128"/>
      <c r="J72" s="129"/>
      <c r="K72" s="128"/>
      <c r="L72" s="94"/>
      <c r="M72" s="128"/>
      <c r="N72" s="94"/>
    </row>
    <row r="73" spans="1:14" ht="13" x14ac:dyDescent="0.15">
      <c r="A73" s="73" t="s">
        <v>39</v>
      </c>
      <c r="B73" s="74" t="s">
        <v>143</v>
      </c>
      <c r="C73" s="131" t="s">
        <v>539</v>
      </c>
      <c r="D73" s="96" t="s">
        <v>85</v>
      </c>
      <c r="E73" s="76" t="s">
        <v>85</v>
      </c>
      <c r="F73" s="77"/>
      <c r="G73" s="132" t="s">
        <v>39</v>
      </c>
      <c r="H73" s="133" t="s">
        <v>143</v>
      </c>
      <c r="I73" s="134" t="str">
        <f ca="1">IFERROR(__xludf.DUMMYFUNCTION("IF(D73=E73,C73,GOOGLEFINANCE(CONCATENATE(D73,E73))*C73)"),"8.99")</f>
        <v>8.99</v>
      </c>
      <c r="J73" s="135" t="s">
        <v>85</v>
      </c>
      <c r="K73" s="134">
        <f ca="1">IFERROR(__xludf.DUMMYFUNCTION("VALUE(IF(D73=""USD"",C73,IF(D73=""EUR"",C73/GOOGLEFINANCE(CONCATENATE(L73,N73)),IF(D73=E73,C73/GOOGLEFINANCE(CONCATENATE(L73,J73))))))"),8.845160497)</f>
        <v>8.8451604970000002</v>
      </c>
      <c r="L73" s="81" t="s">
        <v>86</v>
      </c>
      <c r="M73" s="134">
        <f ca="1">IFERROR(__xludf.DUMMYFUNCTION("VALUE(IF(D73=""EUR"",C73,IF(D73=""USD"",GOOGLEFINANCE(CONCATENATE(L73,N73))*C73,IF(D73=E73,C73/GOOGLEFINANCE(CONCATENATE(N73,J73))))))"),8.99)</f>
        <v>8.99</v>
      </c>
      <c r="N73" s="81" t="s">
        <v>85</v>
      </c>
    </row>
    <row r="74" spans="1:14" ht="13" x14ac:dyDescent="0.15">
      <c r="A74" s="86" t="s">
        <v>48</v>
      </c>
      <c r="B74" s="87" t="s">
        <v>144</v>
      </c>
      <c r="C74" s="125"/>
      <c r="D74" s="89"/>
      <c r="E74" s="89" t="s">
        <v>145</v>
      </c>
      <c r="F74" s="77"/>
      <c r="G74" s="126" t="s">
        <v>48</v>
      </c>
      <c r="H74" s="130" t="s">
        <v>144</v>
      </c>
      <c r="I74" s="128"/>
      <c r="J74" s="129"/>
      <c r="K74" s="128"/>
      <c r="L74" s="94"/>
      <c r="M74" s="128"/>
      <c r="N74" s="94"/>
    </row>
    <row r="75" spans="1:14" ht="13" x14ac:dyDescent="0.15">
      <c r="A75" s="136" t="s">
        <v>672</v>
      </c>
      <c r="B75" s="137" t="s">
        <v>673</v>
      </c>
      <c r="C75" s="138"/>
      <c r="D75" s="139"/>
      <c r="E75" s="139" t="s">
        <v>399</v>
      </c>
      <c r="F75" s="77"/>
      <c r="G75" s="140" t="s">
        <v>672</v>
      </c>
      <c r="H75" s="141" t="s">
        <v>673</v>
      </c>
      <c r="I75" s="147" t="str">
        <f ca="1">IFERROR(__xludf.DUMMYFUNCTION("IFERROR(IF(D30=E30,C30,GOOGLEFINANCE(CONCATENATE(D30,E30))*C30),"""")"),"")</f>
        <v/>
      </c>
      <c r="J75" s="143" t="s">
        <v>399</v>
      </c>
      <c r="K75" s="142" t="str">
        <f ca="1">IFERROR(__xludf.DUMMYFUNCTION("IFERROR(VALUE(IF(D75=""USD"",C75,IF(D75=""EUR"",C75/GOOGLEFINANCE(CONCATENATE(L75,N75)),IF(D75=E75,C75/GOOGLEFINANCE(CONCATENATE(L75,J75)))))),"""")"),"")</f>
        <v/>
      </c>
      <c r="L75" s="144" t="s">
        <v>86</v>
      </c>
      <c r="M75" s="142" t="str">
        <f ca="1">IFERROR(__xludf.DUMMYFUNCTION("VALUE(IF(D75=""EUR"",C75,IF(D75=""USD"",GOOGLEFINANCE(CONCATENATE(L75,N75))*C75,IF(D75=E75,C75/GOOGLEFINANCE(CONCATENATE(N75,J75))))))"),"#VALUE!")</f>
        <v>#VALUE!</v>
      </c>
      <c r="N75" s="144" t="s">
        <v>85</v>
      </c>
    </row>
    <row r="76" spans="1:14" ht="13" x14ac:dyDescent="0.15">
      <c r="A76" s="86" t="s">
        <v>66</v>
      </c>
      <c r="B76" s="87" t="s">
        <v>146</v>
      </c>
      <c r="C76" s="125"/>
      <c r="D76" s="89"/>
      <c r="E76" s="89" t="s">
        <v>147</v>
      </c>
      <c r="F76" s="77"/>
      <c r="G76" s="126" t="s">
        <v>66</v>
      </c>
      <c r="H76" s="130" t="s">
        <v>146</v>
      </c>
      <c r="I76" s="128"/>
      <c r="J76" s="129"/>
      <c r="K76" s="128"/>
      <c r="L76" s="94"/>
      <c r="M76" s="128"/>
      <c r="N76" s="94"/>
    </row>
    <row r="77" spans="1:14" ht="13" x14ac:dyDescent="0.15">
      <c r="A77" s="73" t="s">
        <v>56</v>
      </c>
      <c r="B77" s="74" t="s">
        <v>148</v>
      </c>
      <c r="C77" s="131" t="s">
        <v>539</v>
      </c>
      <c r="D77" s="96" t="s">
        <v>85</v>
      </c>
      <c r="E77" s="76" t="s">
        <v>149</v>
      </c>
      <c r="F77" s="77"/>
      <c r="G77" s="132" t="s">
        <v>56</v>
      </c>
      <c r="H77" s="133" t="s">
        <v>148</v>
      </c>
      <c r="I77" s="134">
        <f ca="1">IFERROR(__xludf.DUMMYFUNCTION("IF(D77=E77,C77,GOOGLEFINANCE(CONCATENATE(D77,E77))*C77)"),553.5953810797)</f>
        <v>553.59538107970002</v>
      </c>
      <c r="J77" s="145" t="s">
        <v>149</v>
      </c>
      <c r="K77" s="134">
        <f ca="1">IFERROR(__xludf.DUMMYFUNCTION("VALUE(IF(D77=""USD"",C77,IF(D77=""EUR"",C77/GOOGLEFINANCE(CONCATENATE(L77,N77)),IF(D77=E77,C77/GOOGLEFINANCE(CONCATENATE(L77,J77))))))"),8.845160497)</f>
        <v>8.8451604970000002</v>
      </c>
      <c r="L77" s="81" t="s">
        <v>86</v>
      </c>
      <c r="M77" s="134">
        <f ca="1">IFERROR(__xludf.DUMMYFUNCTION("VALUE(IF(D77=""EUR"",C77,IF(D77=""USD"",GOOGLEFINANCE(CONCATENATE(L77,N77))*C77,IF(D77=E77,C77/GOOGLEFINANCE(CONCATENATE(N77,J77))))))"),8.99)</f>
        <v>8.99</v>
      </c>
      <c r="N77" s="81" t="s">
        <v>85</v>
      </c>
    </row>
    <row r="78" spans="1:14" ht="13" x14ac:dyDescent="0.15">
      <c r="A78" s="73" t="s">
        <v>35</v>
      </c>
      <c r="B78" s="74" t="s">
        <v>150</v>
      </c>
      <c r="C78" s="131" t="s">
        <v>814</v>
      </c>
      <c r="D78" s="96" t="s">
        <v>151</v>
      </c>
      <c r="E78" s="76" t="s">
        <v>151</v>
      </c>
      <c r="F78" s="77"/>
      <c r="G78" s="132" t="s">
        <v>35</v>
      </c>
      <c r="H78" s="133" t="s">
        <v>150</v>
      </c>
      <c r="I78" s="134" t="str">
        <f ca="1">IFERROR(__xludf.DUMMYFUNCTION("IF(D78=E78,C78,GOOGLEFINANCE(CONCATENATE(D78,E78))*C78)"),"89.00")</f>
        <v>89.00</v>
      </c>
      <c r="J78" s="135" t="s">
        <v>151</v>
      </c>
      <c r="K78" s="134">
        <f ca="1">IFERROR(__xludf.DUMMYFUNCTION("VALUE(IF(D78=""USD"",C78,IF(D78=""EUR"",C78/GOOGLEFINANCE(CONCATENATE(L78,N78)),IF(D78=E78,C78/GOOGLEFINANCE(CONCATENATE(L78,J78))))))"),8.411223786)</f>
        <v>8.4112237860000008</v>
      </c>
      <c r="L78" s="81" t="s">
        <v>86</v>
      </c>
      <c r="M78" s="134">
        <f ca="1">IFERROR(__xludf.DUMMYFUNCTION("VALUE(IF(D78=""EUR"",C78,IF(D78=""USD"",GOOGLEFINANCE(CONCATENATE(L78,N78))*C78,IF(D78=E78,C78/GOOGLEFINANCE(CONCATENATE(N78,J78))))))"),8.545859579)</f>
        <v>8.545859579</v>
      </c>
      <c r="N78" s="81" t="s">
        <v>85</v>
      </c>
    </row>
    <row r="79" spans="1:14" ht="13" x14ac:dyDescent="0.15">
      <c r="A79" s="86" t="s">
        <v>680</v>
      </c>
      <c r="B79" s="87" t="s">
        <v>410</v>
      </c>
      <c r="C79" s="125"/>
      <c r="D79" s="89"/>
      <c r="E79" s="89" t="s">
        <v>411</v>
      </c>
      <c r="F79" s="77"/>
      <c r="G79" s="126" t="s">
        <v>680</v>
      </c>
      <c r="H79" s="130" t="s">
        <v>410</v>
      </c>
      <c r="I79" s="128"/>
      <c r="J79" s="129"/>
      <c r="K79" s="128"/>
      <c r="L79" s="94"/>
      <c r="M79" s="128"/>
      <c r="N79" s="94"/>
    </row>
    <row r="80" spans="1:14" ht="13" x14ac:dyDescent="0.15">
      <c r="A80" s="86" t="s">
        <v>74</v>
      </c>
      <c r="B80" s="87" t="s">
        <v>152</v>
      </c>
      <c r="C80" s="125"/>
      <c r="D80" s="89"/>
      <c r="E80" s="89" t="s">
        <v>153</v>
      </c>
      <c r="F80" s="77"/>
      <c r="G80" s="126" t="s">
        <v>74</v>
      </c>
      <c r="H80" s="130" t="s">
        <v>152</v>
      </c>
      <c r="I80" s="128"/>
      <c r="J80" s="129"/>
      <c r="K80" s="128"/>
      <c r="L80" s="94"/>
      <c r="M80" s="128"/>
      <c r="N80" s="94"/>
    </row>
    <row r="81" spans="1:14" ht="13" x14ac:dyDescent="0.15">
      <c r="A81" s="136" t="s">
        <v>684</v>
      </c>
      <c r="B81" s="137" t="s">
        <v>413</v>
      </c>
      <c r="C81" s="138"/>
      <c r="D81" s="139"/>
      <c r="E81" s="139" t="s">
        <v>414</v>
      </c>
      <c r="F81" s="77"/>
      <c r="G81" s="140" t="s">
        <v>684</v>
      </c>
      <c r="H81" s="141" t="s">
        <v>413</v>
      </c>
      <c r="I81" s="147" t="str">
        <f ca="1">IFERROR(__xludf.DUMMYFUNCTION("IFERROR(IF(D30=E30,C30,GOOGLEFINANCE(CONCATENATE(D30,E30))*C30),"""")"),"")</f>
        <v/>
      </c>
      <c r="J81" s="143" t="s">
        <v>414</v>
      </c>
      <c r="K81" s="142" t="str">
        <f ca="1">IFERROR(__xludf.DUMMYFUNCTION("IFERROR(VALUE(IF(D81=""USD"",C81,IF(D81=""EUR"",C81/GOOGLEFINANCE(CONCATENATE(L81,N81)),IF(D81=E81,C81/GOOGLEFINANCE(CONCATENATE(L81,J81)))))),"""")"),"")</f>
        <v/>
      </c>
      <c r="L81" s="144" t="s">
        <v>86</v>
      </c>
      <c r="M81" s="142" t="str">
        <f ca="1">IFERROR(__xludf.DUMMYFUNCTION("VALUE(IF(D81=""EUR"",C81,IF(D81=""USD"",GOOGLEFINANCE(CONCATENATE(L81,N81))*C81,IF(D81=E81,C81/GOOGLEFINANCE(CONCATENATE(N81,J81))))))"),"#VALUE!")</f>
        <v>#VALUE!</v>
      </c>
      <c r="N81" s="144" t="s">
        <v>85</v>
      </c>
    </row>
    <row r="82" spans="1:14" ht="13" x14ac:dyDescent="0.15">
      <c r="A82" s="136" t="s">
        <v>702</v>
      </c>
      <c r="B82" s="137" t="s">
        <v>703</v>
      </c>
      <c r="C82" s="138"/>
      <c r="D82" s="139"/>
      <c r="E82" s="139" t="s">
        <v>427</v>
      </c>
      <c r="F82" s="77"/>
      <c r="G82" s="140" t="s">
        <v>702</v>
      </c>
      <c r="H82" s="141" t="s">
        <v>703</v>
      </c>
      <c r="I82" s="147" t="str">
        <f ca="1">IFERROR(__xludf.DUMMYFUNCTION("IFERROR(IF(D30=E30,C30,GOOGLEFINANCE(CONCATENATE(D30,E30))*C30),"""")"),"")</f>
        <v/>
      </c>
      <c r="J82" s="143" t="s">
        <v>427</v>
      </c>
      <c r="K82" s="142" t="str">
        <f ca="1">IFERROR(__xludf.DUMMYFUNCTION("IFERROR(VALUE(IF(D82=""USD"",C82,IF(D82=""EUR"",C82/GOOGLEFINANCE(CONCATENATE(L82,N82)),IF(D82=E82,C82/GOOGLEFINANCE(CONCATENATE(L82,J82)))))),"""")"),"")</f>
        <v/>
      </c>
      <c r="L82" s="144" t="s">
        <v>86</v>
      </c>
      <c r="M82" s="142" t="str">
        <f ca="1">IFERROR(__xludf.DUMMYFUNCTION("VALUE(IF(D82=""EUR"",C82,IF(D82=""USD"",GOOGLEFINANCE(CONCATENATE(L82,N82))*C82,IF(D82=E82,C82/GOOGLEFINANCE(CONCATENATE(N82,J82))))))"),"#VALUE!")</f>
        <v>#VALUE!</v>
      </c>
      <c r="N82" s="144" t="s">
        <v>85</v>
      </c>
    </row>
    <row r="83" spans="1:14" ht="13" x14ac:dyDescent="0.15">
      <c r="A83" s="136" t="s">
        <v>63</v>
      </c>
      <c r="B83" s="137" t="s">
        <v>154</v>
      </c>
      <c r="C83" s="138"/>
      <c r="D83" s="139"/>
      <c r="E83" s="139" t="s">
        <v>155</v>
      </c>
      <c r="F83" s="77"/>
      <c r="G83" s="140" t="s">
        <v>63</v>
      </c>
      <c r="H83" s="141" t="s">
        <v>154</v>
      </c>
      <c r="I83" s="147" t="str">
        <f ca="1">IFERROR(__xludf.DUMMYFUNCTION("IFERROR(IF(D30=E30,C30,GOOGLEFINANCE(CONCATENATE(D30,E30))*C30),"""")"),"")</f>
        <v/>
      </c>
      <c r="J83" s="143" t="s">
        <v>155</v>
      </c>
      <c r="K83" s="142" t="str">
        <f ca="1">IFERROR(__xludf.DUMMYFUNCTION("IFERROR(VALUE(IF(D83=""USD"",C83,IF(D83=""EUR"",C83/GOOGLEFINANCE(CONCATENATE(L83,N83)),IF(D83=E83,C83/GOOGLEFINANCE(CONCATENATE(L83,J83)))))),"""")"),"")</f>
        <v/>
      </c>
      <c r="L83" s="144" t="s">
        <v>86</v>
      </c>
      <c r="M83" s="142" t="str">
        <f ca="1">IFERROR(__xludf.DUMMYFUNCTION("VALUE(IF(D83=""EUR"",C83,IF(D83=""USD"",GOOGLEFINANCE(CONCATENATE(L83,N83))*C83,IF(D83=E83,C83/GOOGLEFINANCE(CONCATENATE(N83,J83))))))"),"#VALUE!")</f>
        <v>#VALUE!</v>
      </c>
      <c r="N83" s="144" t="s">
        <v>85</v>
      </c>
    </row>
    <row r="84" spans="1:14" ht="13" x14ac:dyDescent="0.15">
      <c r="A84" s="86" t="s">
        <v>81</v>
      </c>
      <c r="B84" s="87" t="s">
        <v>156</v>
      </c>
      <c r="C84" s="125"/>
      <c r="D84" s="89"/>
      <c r="E84" s="89" t="s">
        <v>157</v>
      </c>
      <c r="F84" s="77"/>
      <c r="G84" s="126" t="s">
        <v>81</v>
      </c>
      <c r="H84" s="130" t="s">
        <v>156</v>
      </c>
      <c r="I84" s="128"/>
      <c r="J84" s="129"/>
      <c r="K84" s="128"/>
      <c r="L84" s="94"/>
      <c r="M84" s="128"/>
      <c r="N84" s="94"/>
    </row>
    <row r="85" spans="1:14" ht="13" x14ac:dyDescent="0.15">
      <c r="A85" s="73" t="s">
        <v>70</v>
      </c>
      <c r="B85" s="74" t="s">
        <v>158</v>
      </c>
      <c r="C85" s="131" t="s">
        <v>815</v>
      </c>
      <c r="D85" s="96" t="s">
        <v>159</v>
      </c>
      <c r="E85" s="76" t="s">
        <v>159</v>
      </c>
      <c r="F85" s="77"/>
      <c r="G85" s="132" t="s">
        <v>70</v>
      </c>
      <c r="H85" s="133" t="s">
        <v>158</v>
      </c>
      <c r="I85" s="134" t="str">
        <f ca="1">IFERROR(__xludf.DUMMYFUNCTION("IF(D85=E85,C85,GOOGLEFINANCE(CONCATENATE(D85,E85))*C85)"),"29.99")</f>
        <v>29.99</v>
      </c>
      <c r="J85" s="135" t="s">
        <v>159</v>
      </c>
      <c r="K85" s="134">
        <f ca="1">IFERROR(__xludf.DUMMYFUNCTION("VALUE(IF(D85=""USD"",C85,IF(D85=""EUR"",C85/GOOGLEFINANCE(CONCATENATE(L85,N85)),IF(D85=E85,C85/GOOGLEFINANCE(CONCATENATE(L85,J85))))))"),6.175992092)</f>
        <v>6.1759920920000004</v>
      </c>
      <c r="L85" s="81" t="s">
        <v>86</v>
      </c>
      <c r="M85" s="134">
        <f ca="1">IFERROR(__xludf.DUMMYFUNCTION("VALUE(IF(D85=""EUR"",C85,IF(D85=""USD"",GOOGLEFINANCE(CONCATENATE(L85,N85))*C85,IF(D85=E85,C85/GOOGLEFINANCE(CONCATENATE(N85,J85))))))"),6.277144621)</f>
        <v>6.2771446209999997</v>
      </c>
      <c r="N85" s="81" t="s">
        <v>85</v>
      </c>
    </row>
    <row r="86" spans="1:14" ht="13" x14ac:dyDescent="0.15">
      <c r="A86" s="73" t="s">
        <v>45</v>
      </c>
      <c r="B86" s="74" t="s">
        <v>160</v>
      </c>
      <c r="C86" s="131" t="s">
        <v>539</v>
      </c>
      <c r="D86" s="96" t="s">
        <v>85</v>
      </c>
      <c r="E86" s="76" t="s">
        <v>85</v>
      </c>
      <c r="F86" s="77"/>
      <c r="G86" s="132" t="s">
        <v>45</v>
      </c>
      <c r="H86" s="133" t="s">
        <v>160</v>
      </c>
      <c r="I86" s="134" t="str">
        <f ca="1">IFERROR(__xludf.DUMMYFUNCTION("IF(D86=E86,C86,GOOGLEFINANCE(CONCATENATE(D86,E86))*C86)"),"8.99")</f>
        <v>8.99</v>
      </c>
      <c r="J86" s="135" t="s">
        <v>85</v>
      </c>
      <c r="K86" s="134">
        <f ca="1">IFERROR(__xludf.DUMMYFUNCTION("VALUE(IF(D86=""USD"",C86,IF(D86=""EUR"",C86/GOOGLEFINANCE(CONCATENATE(L86,N86)),IF(D86=E86,C86/GOOGLEFINANCE(CONCATENATE(L86,J86))))))"),8.845160497)</f>
        <v>8.8451604970000002</v>
      </c>
      <c r="L86" s="81" t="s">
        <v>86</v>
      </c>
      <c r="M86" s="134">
        <f ca="1">IFERROR(__xludf.DUMMYFUNCTION("VALUE(IF(D86=""EUR"",C86,IF(D86=""USD"",GOOGLEFINANCE(CONCATENATE(L86,N86))*C86,IF(D86=E86,C86/GOOGLEFINANCE(CONCATENATE(N86,J86))))))"),8.99)</f>
        <v>8.99</v>
      </c>
      <c r="N86" s="81" t="s">
        <v>85</v>
      </c>
    </row>
    <row r="87" spans="1:14" ht="13" x14ac:dyDescent="0.15">
      <c r="A87" s="136" t="s">
        <v>697</v>
      </c>
      <c r="B87" s="137" t="s">
        <v>698</v>
      </c>
      <c r="C87" s="138"/>
      <c r="D87" s="139"/>
      <c r="E87" s="139" t="s">
        <v>86</v>
      </c>
      <c r="F87" s="77"/>
      <c r="G87" s="140" t="s">
        <v>697</v>
      </c>
      <c r="H87" s="141" t="s">
        <v>698</v>
      </c>
      <c r="I87" s="147" t="str">
        <f ca="1">IFERROR(__xludf.DUMMYFUNCTION("IFERROR(IF(D30=E30,C30,GOOGLEFINANCE(CONCATENATE(D30,E30))*C30),"""")"),"")</f>
        <v/>
      </c>
      <c r="J87" s="143" t="s">
        <v>86</v>
      </c>
      <c r="K87" s="142" t="str">
        <f ca="1">IFERROR(__xludf.DUMMYFUNCTION("IFERROR(VALUE(IF(D87=""USD"",C87,IF(D87=""EUR"",C87/GOOGLEFINANCE(CONCATENATE(L87,N87)),IF(D87=E87,C87/GOOGLEFINANCE(CONCATENATE(L87,J87)))))),"""")"),"")</f>
        <v/>
      </c>
      <c r="L87" s="144" t="s">
        <v>86</v>
      </c>
      <c r="M87" s="142" t="str">
        <f ca="1">IFERROR(__xludf.DUMMYFUNCTION("VALUE(IF(D87=""EUR"",C87,IF(D87=""USD"",GOOGLEFINANCE(CONCATENATE(L87,N87))*C87,IF(D87=E87,C87/GOOGLEFINANCE(CONCATENATE(N87,J87))))))"),"#VALUE!")</f>
        <v>#VALUE!</v>
      </c>
      <c r="N87" s="144" t="s">
        <v>85</v>
      </c>
    </row>
    <row r="88" spans="1:14" ht="13" x14ac:dyDescent="0.15">
      <c r="A88" s="86" t="s">
        <v>707</v>
      </c>
      <c r="B88" s="87" t="s">
        <v>708</v>
      </c>
      <c r="C88" s="125"/>
      <c r="D88" s="89"/>
      <c r="E88" s="89" t="s">
        <v>430</v>
      </c>
      <c r="F88" s="77"/>
      <c r="G88" s="126" t="s">
        <v>707</v>
      </c>
      <c r="H88" s="130" t="s">
        <v>708</v>
      </c>
      <c r="I88" s="128"/>
      <c r="J88" s="129"/>
      <c r="K88" s="128"/>
      <c r="L88" s="94"/>
      <c r="M88" s="128"/>
      <c r="N88" s="94"/>
    </row>
    <row r="89" spans="1:14" ht="13" x14ac:dyDescent="0.15">
      <c r="A89" s="73" t="s">
        <v>64</v>
      </c>
      <c r="B89" s="74" t="s">
        <v>161</v>
      </c>
      <c r="C89" s="131" t="s">
        <v>539</v>
      </c>
      <c r="D89" s="96" t="s">
        <v>85</v>
      </c>
      <c r="E89" s="76" t="s">
        <v>162</v>
      </c>
      <c r="F89" s="77"/>
      <c r="G89" s="132" t="s">
        <v>64</v>
      </c>
      <c r="H89" s="133" t="s">
        <v>161</v>
      </c>
      <c r="I89" s="134">
        <f ca="1">IFERROR(__xludf.DUMMYFUNCTION("IF(D89=E89,C89,GOOGLEFINANCE(CONCATENATE(D89,E89))*C89)"),44.19895667383)</f>
        <v>44.198956673829997</v>
      </c>
      <c r="J89" s="145" t="s">
        <v>162</v>
      </c>
      <c r="K89" s="134">
        <f ca="1">IFERROR(__xludf.DUMMYFUNCTION("VALUE(IF(D89=""USD"",C89,IF(D89=""EUR"",C89/GOOGLEFINANCE(CONCATENATE(L89,N89)),IF(D89=E89,C89/GOOGLEFINANCE(CONCATENATE(L89,J89))))))"),8.845160497)</f>
        <v>8.8451604970000002</v>
      </c>
      <c r="L89" s="81" t="s">
        <v>86</v>
      </c>
      <c r="M89" s="134">
        <f ca="1">IFERROR(__xludf.DUMMYFUNCTION("VALUE(IF(D89=""EUR"",C89,IF(D89=""USD"",GOOGLEFINANCE(CONCATENATE(L89,N89))*C89,IF(D89=E89,C89/GOOGLEFINANCE(CONCATENATE(N89,J89))))))"),8.99)</f>
        <v>8.99</v>
      </c>
      <c r="N89" s="81" t="s">
        <v>85</v>
      </c>
    </row>
    <row r="90" spans="1:14" ht="13" x14ac:dyDescent="0.15">
      <c r="A90" s="86" t="s">
        <v>709</v>
      </c>
      <c r="B90" s="87" t="s">
        <v>710</v>
      </c>
      <c r="C90" s="125"/>
      <c r="D90" s="89"/>
      <c r="E90" s="89" t="s">
        <v>436</v>
      </c>
      <c r="F90" s="77"/>
      <c r="G90" s="126" t="s">
        <v>709</v>
      </c>
      <c r="H90" s="130" t="s">
        <v>710</v>
      </c>
      <c r="I90" s="128"/>
      <c r="J90" s="129"/>
      <c r="K90" s="128"/>
      <c r="L90" s="94"/>
      <c r="M90" s="128"/>
      <c r="N90" s="94"/>
    </row>
    <row r="91" spans="1:14" ht="13" x14ac:dyDescent="0.15">
      <c r="A91" s="86" t="s">
        <v>712</v>
      </c>
      <c r="B91" s="87" t="s">
        <v>438</v>
      </c>
      <c r="C91" s="125"/>
      <c r="D91" s="89"/>
      <c r="E91" s="89" t="s">
        <v>439</v>
      </c>
      <c r="F91" s="77"/>
      <c r="G91" s="126" t="s">
        <v>712</v>
      </c>
      <c r="H91" s="130" t="s">
        <v>438</v>
      </c>
      <c r="I91" s="128"/>
      <c r="J91" s="129"/>
      <c r="K91" s="128"/>
      <c r="L91" s="94"/>
      <c r="M91" s="128"/>
      <c r="N91" s="94"/>
    </row>
    <row r="92" spans="1:14" ht="13" x14ac:dyDescent="0.15">
      <c r="A92" s="86" t="s">
        <v>59</v>
      </c>
      <c r="B92" s="87" t="s">
        <v>163</v>
      </c>
      <c r="C92" s="125"/>
      <c r="D92" s="89"/>
      <c r="E92" s="89" t="s">
        <v>164</v>
      </c>
      <c r="F92" s="77"/>
      <c r="G92" s="126" t="s">
        <v>59</v>
      </c>
      <c r="H92" s="130" t="s">
        <v>163</v>
      </c>
      <c r="I92" s="128"/>
      <c r="J92" s="129"/>
      <c r="K92" s="128"/>
      <c r="L92" s="94"/>
      <c r="M92" s="128"/>
      <c r="N92" s="94"/>
    </row>
    <row r="93" spans="1:14" ht="13" x14ac:dyDescent="0.15">
      <c r="A93" s="73" t="s">
        <v>50</v>
      </c>
      <c r="B93" s="74" t="s">
        <v>165</v>
      </c>
      <c r="C93" s="131" t="s">
        <v>539</v>
      </c>
      <c r="D93" s="96" t="s">
        <v>85</v>
      </c>
      <c r="E93" s="76" t="s">
        <v>166</v>
      </c>
      <c r="F93" s="77"/>
      <c r="G93" s="132" t="s">
        <v>50</v>
      </c>
      <c r="H93" s="133" t="s">
        <v>165</v>
      </c>
      <c r="I93" s="134">
        <f ca="1">IFERROR(__xludf.DUMMYFUNCTION("IF(D93=E93,C93,GOOGLEFINANCE(CONCATENATE(D93,E93))*C93)"),1054.31124)</f>
        <v>1054.31124</v>
      </c>
      <c r="J93" s="145" t="s">
        <v>166</v>
      </c>
      <c r="K93" s="134">
        <f ca="1">IFERROR(__xludf.DUMMYFUNCTION("VALUE(IF(D93=""USD"",C93,IF(D93=""EUR"",C93/GOOGLEFINANCE(CONCATENATE(L93,N93)),IF(D93=E93,C93/GOOGLEFINANCE(CONCATENATE(L93,J93))))))"),8.845160497)</f>
        <v>8.8451604970000002</v>
      </c>
      <c r="L93" s="81" t="s">
        <v>86</v>
      </c>
      <c r="M93" s="134">
        <f ca="1">IFERROR(__xludf.DUMMYFUNCTION("VALUE(IF(D93=""EUR"",C93,IF(D93=""USD"",GOOGLEFINANCE(CONCATENATE(L93,N93))*C93,IF(D93=E93,C93/GOOGLEFINANCE(CONCATENATE(N93,J93))))))"),8.99)</f>
        <v>8.99</v>
      </c>
      <c r="N93" s="81" t="s">
        <v>85</v>
      </c>
    </row>
    <row r="94" spans="1:14" ht="13" x14ac:dyDescent="0.15">
      <c r="A94" s="86" t="s">
        <v>61</v>
      </c>
      <c r="B94" s="87" t="s">
        <v>167</v>
      </c>
      <c r="C94" s="125"/>
      <c r="D94" s="89"/>
      <c r="E94" s="89" t="s">
        <v>168</v>
      </c>
      <c r="F94" s="77"/>
      <c r="G94" s="126" t="s">
        <v>61</v>
      </c>
      <c r="H94" s="130" t="s">
        <v>167</v>
      </c>
      <c r="I94" s="128"/>
      <c r="J94" s="129"/>
      <c r="K94" s="128"/>
      <c r="L94" s="94"/>
      <c r="M94" s="128"/>
      <c r="N94" s="94"/>
    </row>
    <row r="95" spans="1:14" ht="13" x14ac:dyDescent="0.15">
      <c r="A95" s="73" t="s">
        <v>47</v>
      </c>
      <c r="B95" s="74" t="s">
        <v>169</v>
      </c>
      <c r="C95" s="131" t="s">
        <v>539</v>
      </c>
      <c r="D95" s="96" t="s">
        <v>85</v>
      </c>
      <c r="E95" s="76" t="s">
        <v>85</v>
      </c>
      <c r="F95" s="77"/>
      <c r="G95" s="132" t="s">
        <v>47</v>
      </c>
      <c r="H95" s="133" t="s">
        <v>169</v>
      </c>
      <c r="I95" s="134" t="str">
        <f ca="1">IFERROR(__xludf.DUMMYFUNCTION("IF(D95=E95,C95,GOOGLEFINANCE(CONCATENATE(D95,E95))*C95)"),"8.99")</f>
        <v>8.99</v>
      </c>
      <c r="J95" s="135" t="s">
        <v>85</v>
      </c>
      <c r="K95" s="134">
        <f ca="1">IFERROR(__xludf.DUMMYFUNCTION("VALUE(IF(D95=""USD"",C95,IF(D95=""EUR"",C95/GOOGLEFINANCE(CONCATENATE(L95,N95)),IF(D95=E95,C95/GOOGLEFINANCE(CONCATENATE(L95,J95))))))"),8.845160497)</f>
        <v>8.8451604970000002</v>
      </c>
      <c r="L95" s="81" t="s">
        <v>86</v>
      </c>
      <c r="M95" s="134">
        <f ca="1">IFERROR(__xludf.DUMMYFUNCTION("VALUE(IF(D95=""EUR"",C95,IF(D95=""USD"",GOOGLEFINANCE(CONCATENATE(L95,N95))*C95,IF(D95=E95,C95/GOOGLEFINANCE(CONCATENATE(N95,J95))))))"),8.99)</f>
        <v>8.99</v>
      </c>
      <c r="N95" s="81" t="s">
        <v>85</v>
      </c>
    </row>
    <row r="96" spans="1:14" ht="13" x14ac:dyDescent="0.15">
      <c r="A96" s="73" t="s">
        <v>721</v>
      </c>
      <c r="B96" s="74" t="s">
        <v>722</v>
      </c>
      <c r="C96" s="131" t="s">
        <v>539</v>
      </c>
      <c r="D96" s="96" t="s">
        <v>85</v>
      </c>
      <c r="E96" s="76" t="s">
        <v>85</v>
      </c>
      <c r="F96" s="77"/>
      <c r="G96" s="132" t="s">
        <v>721</v>
      </c>
      <c r="H96" s="133" t="s">
        <v>722</v>
      </c>
      <c r="I96" s="134" t="str">
        <f ca="1">IFERROR(__xludf.DUMMYFUNCTION("IF(D96=E96,C96,GOOGLEFINANCE(CONCATENATE(D96,E96))*C96)"),"8.99")</f>
        <v>8.99</v>
      </c>
      <c r="J96" s="135" t="s">
        <v>85</v>
      </c>
      <c r="K96" s="134">
        <f ca="1">IFERROR(__xludf.DUMMYFUNCTION("VALUE(IF(D96=""USD"",C96,IF(D96=""EUR"",C96/GOOGLEFINANCE(CONCATENATE(L96,N96)),IF(D96=E96,C96/GOOGLEFINANCE(CONCATENATE(L96,J96))))))"),8.845160497)</f>
        <v>8.8451604970000002</v>
      </c>
      <c r="L96" s="81" t="s">
        <v>86</v>
      </c>
      <c r="M96" s="134">
        <f ca="1">IFERROR(__xludf.DUMMYFUNCTION("VALUE(IF(D96=""EUR"",C96,IF(D96=""USD"",GOOGLEFINANCE(CONCATENATE(L96,N96))*C96,IF(D96=E96,C96/GOOGLEFINANCE(CONCATENATE(N96,J96))))))"),8.99)</f>
        <v>8.99</v>
      </c>
      <c r="N96" s="81" t="s">
        <v>85</v>
      </c>
    </row>
    <row r="97" spans="1:14" ht="13" x14ac:dyDescent="0.15">
      <c r="A97" s="86" t="s">
        <v>75</v>
      </c>
      <c r="B97" s="87" t="s">
        <v>170</v>
      </c>
      <c r="C97" s="125"/>
      <c r="D97" s="89"/>
      <c r="E97" s="89" t="s">
        <v>171</v>
      </c>
      <c r="F97" s="77"/>
      <c r="G97" s="126" t="s">
        <v>75</v>
      </c>
      <c r="H97" s="130" t="s">
        <v>170</v>
      </c>
      <c r="I97" s="128"/>
      <c r="J97" s="129"/>
      <c r="K97" s="128"/>
      <c r="L97" s="94"/>
      <c r="M97" s="128"/>
      <c r="N97" s="94"/>
    </row>
    <row r="98" spans="1:14" ht="13" x14ac:dyDescent="0.15">
      <c r="A98" s="86" t="s">
        <v>60</v>
      </c>
      <c r="B98" s="87" t="s">
        <v>172</v>
      </c>
      <c r="C98" s="125"/>
      <c r="D98" s="89"/>
      <c r="E98" s="89" t="s">
        <v>173</v>
      </c>
      <c r="F98" s="77"/>
      <c r="G98" s="126" t="s">
        <v>60</v>
      </c>
      <c r="H98" s="130" t="s">
        <v>172</v>
      </c>
      <c r="I98" s="128"/>
      <c r="J98" s="129"/>
      <c r="K98" s="128"/>
      <c r="L98" s="94"/>
      <c r="M98" s="128"/>
      <c r="N98" s="94"/>
    </row>
    <row r="99" spans="1:14" ht="13" x14ac:dyDescent="0.15">
      <c r="A99" s="73" t="s">
        <v>33</v>
      </c>
      <c r="B99" s="74" t="s">
        <v>174</v>
      </c>
      <c r="C99" s="131" t="s">
        <v>539</v>
      </c>
      <c r="D99" s="96" t="s">
        <v>85</v>
      </c>
      <c r="E99" s="76" t="s">
        <v>85</v>
      </c>
      <c r="F99" s="77"/>
      <c r="G99" s="132" t="s">
        <v>33</v>
      </c>
      <c r="H99" s="133" t="s">
        <v>174</v>
      </c>
      <c r="I99" s="134" t="str">
        <f ca="1">IFERROR(__xludf.DUMMYFUNCTION("IF(D99=E99,C99,GOOGLEFINANCE(CONCATENATE(D99,E99))*C99)"),"8.99")</f>
        <v>8.99</v>
      </c>
      <c r="J99" s="135" t="s">
        <v>85</v>
      </c>
      <c r="K99" s="134">
        <f ca="1">IFERROR(__xludf.DUMMYFUNCTION("VALUE(IF(D99=""USD"",C99,IF(D99=""EUR"",C99/GOOGLEFINANCE(CONCATENATE(L99,N99)),IF(D99=E99,C99/GOOGLEFINANCE(CONCATENATE(L99,J99))))))"),8.845160497)</f>
        <v>8.8451604970000002</v>
      </c>
      <c r="L99" s="81" t="s">
        <v>86</v>
      </c>
      <c r="M99" s="134">
        <f ca="1">IFERROR(__xludf.DUMMYFUNCTION("VALUE(IF(D99=""EUR"",C99,IF(D99=""USD"",GOOGLEFINANCE(CONCATENATE(L99,N99))*C99,IF(D99=E99,C99/GOOGLEFINANCE(CONCATENATE(N99,J99))))))"),8.99)</f>
        <v>8.99</v>
      </c>
      <c r="N99" s="81" t="s">
        <v>85</v>
      </c>
    </row>
    <row r="100" spans="1:14" ht="13" x14ac:dyDescent="0.15">
      <c r="A100" s="86" t="s">
        <v>652</v>
      </c>
      <c r="B100" s="87" t="s">
        <v>364</v>
      </c>
      <c r="C100" s="125"/>
      <c r="D100" s="89"/>
      <c r="E100" s="89" t="s">
        <v>365</v>
      </c>
      <c r="F100" s="77"/>
      <c r="G100" s="126" t="s">
        <v>652</v>
      </c>
      <c r="H100" s="130" t="s">
        <v>364</v>
      </c>
      <c r="I100" s="128"/>
      <c r="J100" s="129"/>
      <c r="K100" s="128"/>
      <c r="L100" s="94"/>
      <c r="M100" s="128"/>
      <c r="N100" s="94"/>
    </row>
    <row r="101" spans="1:14" ht="13" x14ac:dyDescent="0.15">
      <c r="A101" s="73" t="s">
        <v>36</v>
      </c>
      <c r="B101" s="74" t="s">
        <v>175</v>
      </c>
      <c r="C101" s="131" t="s">
        <v>816</v>
      </c>
      <c r="D101" s="96" t="s">
        <v>176</v>
      </c>
      <c r="E101" s="76" t="s">
        <v>176</v>
      </c>
      <c r="F101" s="77"/>
      <c r="G101" s="132" t="s">
        <v>36</v>
      </c>
      <c r="H101" s="133" t="s">
        <v>175</v>
      </c>
      <c r="I101" s="134" t="str">
        <f ca="1">IFERROR(__xludf.DUMMYFUNCTION("IF(D101=E101,C101,GOOGLEFINANCE(CONCATENATE(D101,E101))*C101)"),"        89.00")</f>
        <v xml:space="preserve">        89.00</v>
      </c>
      <c r="J101" s="135" t="s">
        <v>176</v>
      </c>
      <c r="K101" s="134">
        <f ca="1">IFERROR(__xludf.DUMMYFUNCTION("VALUE(IF(D101=""USD"",C101,IF(D101=""EUR"",C101/GOOGLEFINANCE(CONCATENATE(L101,N101)),IF(D101=E101,C101/GOOGLEFINANCE(CONCATENATE(L101,J101))))))"),7.912398195)</f>
        <v>7.9123981949999997</v>
      </c>
      <c r="L101" s="81" t="s">
        <v>86</v>
      </c>
      <c r="M101" s="134">
        <f ca="1">IFERROR(__xludf.DUMMYFUNCTION("VALUE(IF(D101=""EUR"",C101,IF(D101=""USD"",GOOGLEFINANCE(CONCATENATE(L101,N101))*C101,IF(D101=E101,C101/GOOGLEFINANCE(CONCATENATE(N101,J101))))))"),8.041810184)</f>
        <v>8.0418101839999991</v>
      </c>
      <c r="N101" s="81" t="s">
        <v>85</v>
      </c>
    </row>
    <row r="102" spans="1:14" ht="13" x14ac:dyDescent="0.15">
      <c r="A102" s="86" t="s">
        <v>25</v>
      </c>
      <c r="B102" s="87" t="s">
        <v>177</v>
      </c>
      <c r="C102" s="125"/>
      <c r="D102" s="89"/>
      <c r="E102" s="89" t="s">
        <v>178</v>
      </c>
      <c r="F102" s="77"/>
      <c r="G102" s="126" t="s">
        <v>25</v>
      </c>
      <c r="H102" s="130" t="s">
        <v>177</v>
      </c>
      <c r="I102" s="128"/>
      <c r="J102" s="129"/>
      <c r="K102" s="128"/>
      <c r="L102" s="94"/>
      <c r="M102" s="128"/>
      <c r="N102" s="94"/>
    </row>
    <row r="103" spans="1:14" ht="13" x14ac:dyDescent="0.15">
      <c r="A103" s="86" t="s">
        <v>735</v>
      </c>
      <c r="B103" s="87" t="s">
        <v>736</v>
      </c>
      <c r="C103" s="125"/>
      <c r="D103" s="89"/>
      <c r="E103" s="89" t="s">
        <v>470</v>
      </c>
      <c r="F103" s="77"/>
      <c r="G103" s="126" t="s">
        <v>735</v>
      </c>
      <c r="H103" s="130" t="s">
        <v>736</v>
      </c>
      <c r="I103" s="128"/>
      <c r="J103" s="129"/>
      <c r="K103" s="128"/>
      <c r="L103" s="94"/>
      <c r="M103" s="128"/>
      <c r="N103" s="94"/>
    </row>
    <row r="104" spans="1:14" ht="13" x14ac:dyDescent="0.15">
      <c r="A104" s="86" t="s">
        <v>728</v>
      </c>
      <c r="B104" s="87" t="s">
        <v>729</v>
      </c>
      <c r="C104" s="125"/>
      <c r="D104" s="89"/>
      <c r="E104" s="89" t="s">
        <v>459</v>
      </c>
      <c r="F104" s="77"/>
      <c r="G104" s="126" t="s">
        <v>728</v>
      </c>
      <c r="H104" s="130" t="s">
        <v>729</v>
      </c>
      <c r="I104" s="128"/>
      <c r="J104" s="129"/>
      <c r="K104" s="128"/>
      <c r="L104" s="94"/>
      <c r="M104" s="128"/>
      <c r="N104" s="94"/>
    </row>
    <row r="105" spans="1:14" ht="13" x14ac:dyDescent="0.15">
      <c r="A105" s="86" t="s">
        <v>740</v>
      </c>
      <c r="B105" s="87" t="s">
        <v>472</v>
      </c>
      <c r="C105" s="125"/>
      <c r="D105" s="89"/>
      <c r="E105" s="89" t="s">
        <v>473</v>
      </c>
      <c r="F105" s="77"/>
      <c r="G105" s="126" t="s">
        <v>740</v>
      </c>
      <c r="H105" s="130" t="s">
        <v>472</v>
      </c>
      <c r="I105" s="128"/>
      <c r="J105" s="129"/>
      <c r="K105" s="128"/>
      <c r="L105" s="94"/>
      <c r="M105" s="128"/>
      <c r="N105" s="94"/>
    </row>
    <row r="106" spans="1:14" ht="13" x14ac:dyDescent="0.15">
      <c r="A106" s="86" t="s">
        <v>78</v>
      </c>
      <c r="B106" s="87" t="s">
        <v>179</v>
      </c>
      <c r="C106" s="125"/>
      <c r="D106" s="89"/>
      <c r="E106" s="89" t="s">
        <v>180</v>
      </c>
      <c r="F106" s="77"/>
      <c r="G106" s="126" t="s">
        <v>78</v>
      </c>
      <c r="H106" s="130" t="s">
        <v>179</v>
      </c>
      <c r="I106" s="128"/>
      <c r="J106" s="129"/>
      <c r="K106" s="128"/>
      <c r="L106" s="94"/>
      <c r="M106" s="128"/>
      <c r="N106" s="94"/>
    </row>
    <row r="107" spans="1:14" ht="13" x14ac:dyDescent="0.15">
      <c r="A107" s="86" t="s">
        <v>730</v>
      </c>
      <c r="B107" s="87" t="s">
        <v>731</v>
      </c>
      <c r="C107" s="125"/>
      <c r="D107" s="89"/>
      <c r="E107" s="89" t="s">
        <v>465</v>
      </c>
      <c r="F107" s="77"/>
      <c r="G107" s="126" t="s">
        <v>730</v>
      </c>
      <c r="H107" s="130" t="s">
        <v>731</v>
      </c>
      <c r="I107" s="128"/>
      <c r="J107" s="129"/>
      <c r="K107" s="128"/>
      <c r="L107" s="94"/>
      <c r="M107" s="128"/>
      <c r="N107" s="94"/>
    </row>
    <row r="108" spans="1:14" ht="13" x14ac:dyDescent="0.15">
      <c r="A108" s="73" t="s">
        <v>84</v>
      </c>
      <c r="B108" s="74" t="s">
        <v>181</v>
      </c>
      <c r="C108" s="131" t="s">
        <v>539</v>
      </c>
      <c r="D108" s="96" t="s">
        <v>85</v>
      </c>
      <c r="E108" s="76" t="s">
        <v>182</v>
      </c>
      <c r="F108" s="77"/>
      <c r="G108" s="132" t="s">
        <v>84</v>
      </c>
      <c r="H108" s="133" t="s">
        <v>181</v>
      </c>
      <c r="I108" s="134">
        <f ca="1">IFERROR(__xludf.DUMMYFUNCTION("IF(D108=E108,C108,GOOGLEFINANCE(CONCATENATE(D108,E108))*C108)"),164.5696814)</f>
        <v>164.56968140000001</v>
      </c>
      <c r="J108" s="145" t="s">
        <v>182</v>
      </c>
      <c r="K108" s="134">
        <f ca="1">IFERROR(__xludf.DUMMYFUNCTION("VALUE(IF(D108=""USD"",C108,IF(D108=""EUR"",C108/GOOGLEFINANCE(CONCATENATE(L108,N108)),IF(D108=E108,C108/GOOGLEFINANCE(CONCATENATE(L108,J108))))))"),8.845160497)</f>
        <v>8.8451604970000002</v>
      </c>
      <c r="L108" s="81" t="s">
        <v>86</v>
      </c>
      <c r="M108" s="134">
        <f ca="1">IFERROR(__xludf.DUMMYFUNCTION("VALUE(IF(D108=""EUR"",C108,IF(D108=""USD"",GOOGLEFINANCE(CONCATENATE(L108,N108))*C108,IF(D108=E108,C108/GOOGLEFINANCE(CONCATENATE(N108,J108))))))"),8.99)</f>
        <v>8.99</v>
      </c>
      <c r="N108" s="81" t="s">
        <v>85</v>
      </c>
    </row>
    <row r="109" spans="1:14" ht="13" x14ac:dyDescent="0.15">
      <c r="A109" s="86" t="s">
        <v>744</v>
      </c>
      <c r="B109" s="87" t="s">
        <v>477</v>
      </c>
      <c r="C109" s="125"/>
      <c r="D109" s="89"/>
      <c r="E109" s="89" t="s">
        <v>478</v>
      </c>
      <c r="F109" s="77"/>
      <c r="G109" s="126" t="s">
        <v>744</v>
      </c>
      <c r="H109" s="130" t="s">
        <v>477</v>
      </c>
      <c r="I109" s="128"/>
      <c r="J109" s="129"/>
      <c r="K109" s="128"/>
      <c r="L109" s="94"/>
      <c r="M109" s="128"/>
      <c r="N109" s="94"/>
    </row>
    <row r="110" spans="1:14" ht="13" x14ac:dyDescent="0.15">
      <c r="A110" s="86" t="s">
        <v>62</v>
      </c>
      <c r="B110" s="87" t="s">
        <v>185</v>
      </c>
      <c r="C110" s="125"/>
      <c r="D110" s="89"/>
      <c r="E110" s="89" t="s">
        <v>186</v>
      </c>
      <c r="F110" s="77"/>
      <c r="G110" s="126" t="s">
        <v>62</v>
      </c>
      <c r="H110" s="130" t="s">
        <v>185</v>
      </c>
      <c r="I110" s="128"/>
      <c r="J110" s="129"/>
      <c r="K110" s="128"/>
      <c r="L110" s="94"/>
      <c r="M110" s="128"/>
      <c r="N110" s="94"/>
    </row>
    <row r="111" spans="1:14" ht="13" x14ac:dyDescent="0.15">
      <c r="A111" s="86" t="s">
        <v>69</v>
      </c>
      <c r="B111" s="87" t="s">
        <v>516</v>
      </c>
      <c r="C111" s="125"/>
      <c r="D111" s="89"/>
      <c r="E111" s="89" t="s">
        <v>184</v>
      </c>
      <c r="F111" s="77"/>
      <c r="G111" s="126" t="s">
        <v>69</v>
      </c>
      <c r="H111" s="130" t="s">
        <v>516</v>
      </c>
      <c r="I111" s="128"/>
      <c r="J111" s="129"/>
      <c r="K111" s="128"/>
      <c r="L111" s="94"/>
      <c r="M111" s="128"/>
      <c r="N111" s="94"/>
    </row>
    <row r="112" spans="1:14" ht="13" x14ac:dyDescent="0.15">
      <c r="A112" s="86" t="s">
        <v>27</v>
      </c>
      <c r="B112" s="87" t="s">
        <v>187</v>
      </c>
      <c r="C112" s="125"/>
      <c r="D112" s="89"/>
      <c r="E112" s="89" t="s">
        <v>188</v>
      </c>
      <c r="F112" s="77"/>
      <c r="G112" s="126" t="s">
        <v>27</v>
      </c>
      <c r="H112" s="130" t="s">
        <v>187</v>
      </c>
      <c r="I112" s="128"/>
      <c r="J112" s="129"/>
      <c r="K112" s="128"/>
      <c r="L112" s="94"/>
      <c r="M112" s="128"/>
      <c r="N112" s="94"/>
    </row>
    <row r="113" spans="1:14" ht="13" x14ac:dyDescent="0.15">
      <c r="A113" s="73" t="s">
        <v>26</v>
      </c>
      <c r="B113" s="74" t="s">
        <v>189</v>
      </c>
      <c r="C113" s="131" t="s">
        <v>523</v>
      </c>
      <c r="D113" s="96" t="s">
        <v>86</v>
      </c>
      <c r="E113" s="76" t="s">
        <v>86</v>
      </c>
      <c r="F113" s="77"/>
      <c r="G113" s="132" t="s">
        <v>26</v>
      </c>
      <c r="H113" s="133" t="s">
        <v>189</v>
      </c>
      <c r="I113" s="134" t="str">
        <f ca="1">IFERROR(__xludf.DUMMYFUNCTION("IF(D113=E113,C113,GOOGLEFINANCE(CONCATENATE(D113,E113))*C113)"),"9.99")</f>
        <v>9.99</v>
      </c>
      <c r="J113" s="135" t="s">
        <v>86</v>
      </c>
      <c r="K113" s="134">
        <f ca="1">IFERROR(__xludf.DUMMYFUNCTION("VALUE(IF(D113=""USD"",C113,IF(D113=""EUR"",C113/GOOGLEFINANCE(CONCATENATE(L113,N113)),IF(D113=E113,C113/GOOGLEFINANCE(CONCATENATE(L113,J113))))))"),9.99)</f>
        <v>9.99</v>
      </c>
      <c r="L113" s="81" t="s">
        <v>86</v>
      </c>
      <c r="M113" s="134">
        <f ca="1">IFERROR(__xludf.DUMMYFUNCTION("VALUE(IF(D113=""EUR"",C113,IF(D113=""USD"",GOOGLEFINANCE(CONCATENATE(L113,N113))*C113,IF(D113=E113,C113/GOOGLEFINANCE(CONCATENATE(N113,J113))))))"),10.15358625)</f>
        <v>10.15358625</v>
      </c>
      <c r="N113" s="81" t="s">
        <v>85</v>
      </c>
    </row>
    <row r="114" spans="1:14" ht="13" x14ac:dyDescent="0.15">
      <c r="A114" s="136" t="s">
        <v>747</v>
      </c>
      <c r="B114" s="137" t="s">
        <v>748</v>
      </c>
      <c r="C114" s="138"/>
      <c r="D114" s="139"/>
      <c r="E114" s="139" t="s">
        <v>485</v>
      </c>
      <c r="F114" s="77"/>
      <c r="G114" s="140" t="s">
        <v>747</v>
      </c>
      <c r="H114" s="141" t="s">
        <v>748</v>
      </c>
      <c r="I114" s="147" t="str">
        <f ca="1">IFERROR(__xludf.DUMMYFUNCTION("IFERROR(IF(D30=E30,C30,GOOGLEFINANCE(CONCATENATE(D30,E30))*C30),"""")"),"")</f>
        <v/>
      </c>
      <c r="J114" s="143" t="s">
        <v>485</v>
      </c>
      <c r="K114" s="142" t="str">
        <f ca="1">IFERROR(__xludf.DUMMYFUNCTION("IFERROR(VALUE(IF(D114=""USD"",C114,IF(D114=""EUR"",C114/GOOGLEFINANCE(CONCATENATE(L114,N114)),IF(D114=E114,C114/GOOGLEFINANCE(CONCATENATE(L114,J114)))))),"""")"),"")</f>
        <v/>
      </c>
      <c r="L114" s="144" t="s">
        <v>86</v>
      </c>
      <c r="M114" s="142" t="str">
        <f ca="1">IFERROR(__xludf.DUMMYFUNCTION("VALUE(IF(D114=""EUR"",C114,IF(D114=""USD"",GOOGLEFINANCE(CONCATENATE(L114,N114))*C114,IF(D114=E114,C114/GOOGLEFINANCE(CONCATENATE(N114,J114))))))"),"#VALUE!")</f>
        <v>#VALUE!</v>
      </c>
      <c r="N114" s="144" t="s">
        <v>85</v>
      </c>
    </row>
    <row r="115" spans="1:14" ht="13" x14ac:dyDescent="0.15">
      <c r="A115" s="86" t="s">
        <v>749</v>
      </c>
      <c r="B115" s="87" t="s">
        <v>487</v>
      </c>
      <c r="C115" s="125"/>
      <c r="D115" s="89"/>
      <c r="E115" s="89" t="s">
        <v>488</v>
      </c>
      <c r="F115" s="77"/>
      <c r="G115" s="126" t="s">
        <v>749</v>
      </c>
      <c r="H115" s="130" t="s">
        <v>487</v>
      </c>
      <c r="I115" s="128"/>
      <c r="J115" s="129"/>
      <c r="K115" s="128"/>
      <c r="L115" s="94"/>
      <c r="M115" s="128"/>
      <c r="N115" s="94"/>
    </row>
    <row r="116" spans="1:14" ht="13" x14ac:dyDescent="0.15">
      <c r="A116" s="136" t="s">
        <v>750</v>
      </c>
      <c r="B116" s="137" t="s">
        <v>751</v>
      </c>
      <c r="C116" s="138"/>
      <c r="D116" s="139"/>
      <c r="E116" s="152" t="s">
        <v>491</v>
      </c>
      <c r="F116" s="77"/>
      <c r="G116" s="140" t="s">
        <v>750</v>
      </c>
      <c r="H116" s="141" t="s">
        <v>751</v>
      </c>
      <c r="I116" s="147" t="str">
        <f ca="1">IFERROR(__xludf.DUMMYFUNCTION("IFERROR(IF(D30=E30,C30,GOOGLEFINANCE(CONCATENATE(D30,E30))*C30),"""")"),"")</f>
        <v/>
      </c>
      <c r="J116" s="153" t="s">
        <v>491</v>
      </c>
      <c r="K116" s="142" t="str">
        <f ca="1">IFERROR(__xludf.DUMMYFUNCTION("IFERROR(VALUE(IF(D116=""USD"",C116,IF(D116=""EUR"",C116/GOOGLEFINANCE(CONCATENATE(L116,N116)),IF(D116=E116,C116/GOOGLEFINANCE(CONCATENATE(L116,J116)))))),"""")"),"")</f>
        <v/>
      </c>
      <c r="L116" s="144" t="s">
        <v>86</v>
      </c>
      <c r="M116" s="142" t="str">
        <f ca="1">IFERROR(__xludf.DUMMYFUNCTION("VALUE(IF(D116=""EUR"",C116,IF(D116=""USD"",GOOGLEFINANCE(CONCATENATE(L116,N116))*C116,IF(D116=E116,C116/GOOGLEFINANCE(CONCATENATE(N116,J116))))))"),"#VALUE!")</f>
        <v>#VALUE!</v>
      </c>
      <c r="N116" s="144" t="s">
        <v>85</v>
      </c>
    </row>
    <row r="117" spans="1:14" ht="13" x14ac:dyDescent="0.15">
      <c r="A117" s="86" t="s">
        <v>79</v>
      </c>
      <c r="B117" s="87" t="s">
        <v>190</v>
      </c>
      <c r="C117" s="125"/>
      <c r="D117" s="89"/>
      <c r="E117" s="89" t="s">
        <v>191</v>
      </c>
      <c r="F117" s="77"/>
      <c r="G117" s="126" t="s">
        <v>79</v>
      </c>
      <c r="H117" s="130" t="s">
        <v>190</v>
      </c>
      <c r="I117" s="128"/>
      <c r="J117" s="129"/>
      <c r="K117" s="128"/>
      <c r="L117" s="94"/>
      <c r="M117" s="128"/>
      <c r="N117" s="94"/>
    </row>
    <row r="118" spans="1:14" ht="13" x14ac:dyDescent="0.15">
      <c r="A118" s="86" t="s">
        <v>758</v>
      </c>
      <c r="B118" s="87" t="s">
        <v>497</v>
      </c>
      <c r="C118" s="125"/>
      <c r="D118" s="89"/>
      <c r="E118" s="89" t="s">
        <v>498</v>
      </c>
      <c r="F118" s="77"/>
      <c r="G118" s="126" t="s">
        <v>758</v>
      </c>
      <c r="H118" s="130" t="s">
        <v>497</v>
      </c>
      <c r="I118" s="128"/>
      <c r="J118" s="129"/>
      <c r="K118" s="128"/>
      <c r="L118" s="94"/>
      <c r="M118" s="128"/>
      <c r="N118" s="94"/>
    </row>
  </sheetData>
  <autoFilter ref="A1:O118" xr:uid="{00000000-0009-0000-0000-00000B000000}"/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filterMode="1">
    <outlinePr summaryBelow="0" summaryRight="0"/>
  </sheetPr>
  <dimension ref="A1:P11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12.6640625" defaultRowHeight="15.75" customHeight="1" x14ac:dyDescent="0.15"/>
  <sheetData>
    <row r="1" spans="1:16" ht="28" x14ac:dyDescent="0.15">
      <c r="A1" s="67" t="s">
        <v>501</v>
      </c>
      <c r="B1" s="67" t="s">
        <v>502</v>
      </c>
      <c r="C1" s="154" t="s">
        <v>817</v>
      </c>
      <c r="D1" s="98" t="s">
        <v>818</v>
      </c>
      <c r="E1" s="98" t="s">
        <v>819</v>
      </c>
      <c r="F1" s="67" t="s">
        <v>820</v>
      </c>
      <c r="G1" s="67" t="s">
        <v>507</v>
      </c>
      <c r="H1" s="122" t="s">
        <v>821</v>
      </c>
      <c r="I1" s="67" t="s">
        <v>501</v>
      </c>
      <c r="J1" s="67" t="s">
        <v>502</v>
      </c>
      <c r="K1" s="67" t="s">
        <v>822</v>
      </c>
      <c r="L1" s="67" t="s">
        <v>509</v>
      </c>
      <c r="M1" s="123" t="s">
        <v>510</v>
      </c>
      <c r="N1" s="123" t="s">
        <v>86</v>
      </c>
      <c r="O1" s="123" t="s">
        <v>510</v>
      </c>
      <c r="P1" s="123" t="s">
        <v>85</v>
      </c>
    </row>
    <row r="2" spans="1:16" ht="13" x14ac:dyDescent="0.15">
      <c r="A2" s="73" t="s">
        <v>52</v>
      </c>
      <c r="B2" s="74" t="s">
        <v>88</v>
      </c>
      <c r="C2" s="78">
        <v>4.99</v>
      </c>
      <c r="D2" s="78">
        <v>6.49</v>
      </c>
      <c r="E2" s="78">
        <v>7.99</v>
      </c>
      <c r="F2" s="96" t="s">
        <v>85</v>
      </c>
      <c r="G2" s="76" t="s">
        <v>89</v>
      </c>
      <c r="H2" s="77">
        <f t="shared" ref="H2:H112" si="0">IF(F2=G2,1,0)</f>
        <v>0</v>
      </c>
      <c r="I2" s="73" t="s">
        <v>52</v>
      </c>
      <c r="J2" s="74" t="s">
        <v>88</v>
      </c>
      <c r="K2" s="118">
        <f>IF(F2="USD",C2*VLOOKUP(L2,'Kursy walut'!C:E,2,0),IF(F2="EUR",C2*VLOOKUP(L2,'Kursy walut'!C:E,3,0),C2))</f>
        <v>583.22770700000001</v>
      </c>
      <c r="L2" s="85" t="s">
        <v>89</v>
      </c>
      <c r="M2" s="134">
        <f>C2/VLOOKUP(F2,'Kursy walut'!C:E,2,0)</f>
        <v>4.8811503472561872</v>
      </c>
      <c r="N2" s="81" t="s">
        <v>86</v>
      </c>
      <c r="O2" s="118">
        <f>C2/VLOOKUP(F2,'Kursy walut'!C:E,3,0)</f>
        <v>4.99</v>
      </c>
      <c r="P2" s="81" t="s">
        <v>85</v>
      </c>
    </row>
    <row r="3" spans="1:16" ht="13" x14ac:dyDescent="0.15">
      <c r="A3" s="73" t="s">
        <v>588</v>
      </c>
      <c r="B3" s="74" t="s">
        <v>589</v>
      </c>
      <c r="C3" s="78">
        <v>4.99</v>
      </c>
      <c r="D3" s="78">
        <v>6.49</v>
      </c>
      <c r="E3" s="78">
        <v>7.99</v>
      </c>
      <c r="F3" s="96" t="s">
        <v>86</v>
      </c>
      <c r="G3" s="76" t="s">
        <v>280</v>
      </c>
      <c r="H3" s="77">
        <f t="shared" si="0"/>
        <v>0</v>
      </c>
      <c r="I3" s="73" t="s">
        <v>588</v>
      </c>
      <c r="J3" s="74" t="s">
        <v>589</v>
      </c>
      <c r="K3" s="118">
        <f>IF(F3="USD",C3*VLOOKUP(L3,'Kursy walut'!C:E,2,0),IF(F3="EUR",C3*VLOOKUP(L3,'Kursy walut'!C:E,3,0),C3))</f>
        <v>700.92683699999998</v>
      </c>
      <c r="L3" s="85" t="s">
        <v>280</v>
      </c>
      <c r="M3" s="134">
        <f>C3/VLOOKUP(F3,'Kursy walut'!C:E,2,0)</f>
        <v>4.99</v>
      </c>
      <c r="N3" s="81" t="s">
        <v>86</v>
      </c>
      <c r="O3" s="118">
        <f>C3/VLOOKUP(F3,'Kursy walut'!C:E,3,0)</f>
        <v>5.1012062972807204</v>
      </c>
      <c r="P3" s="81" t="s">
        <v>85</v>
      </c>
    </row>
    <row r="4" spans="1:16" ht="13" hidden="1" x14ac:dyDescent="0.15">
      <c r="A4" s="73" t="s">
        <v>511</v>
      </c>
      <c r="B4" s="74" t="s">
        <v>512</v>
      </c>
      <c r="C4" s="78">
        <v>9.99</v>
      </c>
      <c r="D4" s="78">
        <v>12.99</v>
      </c>
      <c r="E4" s="78">
        <v>15.99</v>
      </c>
      <c r="F4" s="96" t="s">
        <v>85</v>
      </c>
      <c r="G4" s="76" t="s">
        <v>85</v>
      </c>
      <c r="H4" s="77">
        <f t="shared" si="0"/>
        <v>1</v>
      </c>
      <c r="I4" s="73" t="s">
        <v>511</v>
      </c>
      <c r="J4" s="74" t="s">
        <v>512</v>
      </c>
      <c r="K4" s="118">
        <f>IF(F4="USD",C4*VLOOKUP(L4,'Kursy walut'!C:E,2,0),IF(F4="EUR",C4*VLOOKUP(L4,'Kursy walut'!C:E,3,0),C4))</f>
        <v>9.99</v>
      </c>
      <c r="L4" s="79" t="s">
        <v>85</v>
      </c>
      <c r="M4" s="134">
        <f>C4/VLOOKUP(F4,'Kursy walut'!C:E,2,0)</f>
        <v>9.7720825589357343</v>
      </c>
      <c r="N4" s="81" t="s">
        <v>86</v>
      </c>
      <c r="O4" s="118">
        <f>C4/VLOOKUP(F4,'Kursy walut'!C:E,3,0)</f>
        <v>9.99</v>
      </c>
      <c r="P4" s="81" t="s">
        <v>85</v>
      </c>
    </row>
    <row r="5" spans="1:16" ht="13" hidden="1" x14ac:dyDescent="0.15">
      <c r="A5" s="73" t="s">
        <v>83</v>
      </c>
      <c r="B5" s="74" t="s">
        <v>90</v>
      </c>
      <c r="C5" s="78">
        <v>279</v>
      </c>
      <c r="D5" s="78">
        <v>389</v>
      </c>
      <c r="E5" s="78">
        <v>489</v>
      </c>
      <c r="F5" s="96" t="s">
        <v>91</v>
      </c>
      <c r="G5" s="76" t="s">
        <v>91</v>
      </c>
      <c r="H5" s="77">
        <f t="shared" si="0"/>
        <v>1</v>
      </c>
      <c r="I5" s="73" t="s">
        <v>83</v>
      </c>
      <c r="J5" s="74" t="s">
        <v>90</v>
      </c>
      <c r="K5" s="118">
        <f>IF(F5="USD",C5*VLOOKUP(L5,'Kursy walut'!C:E,2,0),IF(F5="EUR",C5*VLOOKUP(L5,'Kursy walut'!C:E,3,0),C5))</f>
        <v>279</v>
      </c>
      <c r="L5" s="79" t="s">
        <v>91</v>
      </c>
      <c r="M5" s="134">
        <f>C5/VLOOKUP(F5,'Kursy walut'!C:E,2,0)</f>
        <v>1.868162625230507</v>
      </c>
      <c r="N5" s="81" t="s">
        <v>86</v>
      </c>
      <c r="O5" s="118">
        <f>C5/VLOOKUP(F5,'Kursy walut'!C:E,3,0)</f>
        <v>1.9097358883180975</v>
      </c>
      <c r="P5" s="81" t="s">
        <v>85</v>
      </c>
    </row>
    <row r="6" spans="1:16" ht="13" x14ac:dyDescent="0.15">
      <c r="A6" s="73" t="s">
        <v>528</v>
      </c>
      <c r="B6" s="74" t="s">
        <v>216</v>
      </c>
      <c r="C6" s="78">
        <v>4.99</v>
      </c>
      <c r="D6" s="71" t="s">
        <v>823</v>
      </c>
      <c r="E6" s="71" t="s">
        <v>823</v>
      </c>
      <c r="F6" s="96" t="s">
        <v>86</v>
      </c>
      <c r="G6" s="76" t="s">
        <v>217</v>
      </c>
      <c r="H6" s="77">
        <f t="shared" si="0"/>
        <v>0</v>
      </c>
      <c r="I6" s="73" t="s">
        <v>528</v>
      </c>
      <c r="J6" s="74" t="s">
        <v>216</v>
      </c>
      <c r="K6" s="118">
        <f>IF(F6="USD",C6*VLOOKUP(L6,'Kursy walut'!C:E,2,0),IF(F6="EUR",C6*VLOOKUP(L6,'Kursy walut'!C:E,3,0),C6))</f>
        <v>2022.2708530000002</v>
      </c>
      <c r="L6" s="85" t="s">
        <v>217</v>
      </c>
      <c r="M6" s="134">
        <f>C6/VLOOKUP(F6,'Kursy walut'!C:E,2,0)</f>
        <v>4.99</v>
      </c>
      <c r="N6" s="81" t="s">
        <v>86</v>
      </c>
      <c r="O6" s="118">
        <f>C6/VLOOKUP(F6,'Kursy walut'!C:E,3,0)</f>
        <v>5.1012062972807204</v>
      </c>
      <c r="P6" s="81" t="s">
        <v>85</v>
      </c>
    </row>
    <row r="7" spans="1:16" ht="13" hidden="1" x14ac:dyDescent="0.15">
      <c r="A7" s="73" t="s">
        <v>57</v>
      </c>
      <c r="B7" s="74" t="s">
        <v>92</v>
      </c>
      <c r="C7" s="78">
        <v>11.99</v>
      </c>
      <c r="D7" s="78">
        <v>15.99</v>
      </c>
      <c r="E7" s="78">
        <v>18.989999999999998</v>
      </c>
      <c r="F7" s="96" t="s">
        <v>93</v>
      </c>
      <c r="G7" s="76" t="s">
        <v>93</v>
      </c>
      <c r="H7" s="77">
        <f t="shared" si="0"/>
        <v>1</v>
      </c>
      <c r="I7" s="73" t="s">
        <v>57</v>
      </c>
      <c r="J7" s="74" t="s">
        <v>92</v>
      </c>
      <c r="K7" s="118">
        <f>IF(F7="USD",C7*VLOOKUP(L7,'Kursy walut'!C:E,2,0),IF(F7="EUR",C7*VLOOKUP(L7,'Kursy walut'!C:E,3,0),C7))</f>
        <v>11.99</v>
      </c>
      <c r="L7" s="79" t="s">
        <v>93</v>
      </c>
      <c r="M7" s="134">
        <f>C7/VLOOKUP(F7,'Kursy walut'!C:E,2,0)</f>
        <v>7.7096193415637861</v>
      </c>
      <c r="N7" s="81" t="s">
        <v>86</v>
      </c>
      <c r="O7" s="118">
        <f>C7/VLOOKUP(F7,'Kursy walut'!C:E,3,0)</f>
        <v>7.8090399895792624</v>
      </c>
      <c r="P7" s="81" t="s">
        <v>85</v>
      </c>
    </row>
    <row r="8" spans="1:16" ht="13" hidden="1" x14ac:dyDescent="0.15">
      <c r="A8" s="73" t="s">
        <v>28</v>
      </c>
      <c r="B8" s="74" t="s">
        <v>94</v>
      </c>
      <c r="C8" s="78">
        <v>9.99</v>
      </c>
      <c r="D8" s="78">
        <v>12.99</v>
      </c>
      <c r="E8" s="78">
        <v>14.99</v>
      </c>
      <c r="F8" s="96" t="s">
        <v>85</v>
      </c>
      <c r="G8" s="76" t="s">
        <v>85</v>
      </c>
      <c r="H8" s="77">
        <f t="shared" si="0"/>
        <v>1</v>
      </c>
      <c r="I8" s="73" t="s">
        <v>28</v>
      </c>
      <c r="J8" s="74" t="s">
        <v>94</v>
      </c>
      <c r="K8" s="118">
        <f>IF(F8="USD",C8*VLOOKUP(L8,'Kursy walut'!C:E,2,0),IF(F8="EUR",C8*VLOOKUP(L8,'Kursy walut'!C:E,3,0),C8))</f>
        <v>9.99</v>
      </c>
      <c r="L8" s="79" t="s">
        <v>85</v>
      </c>
      <c r="M8" s="134">
        <f>C8/VLOOKUP(F8,'Kursy walut'!C:E,2,0)</f>
        <v>9.7720825589357343</v>
      </c>
      <c r="N8" s="81" t="s">
        <v>86</v>
      </c>
      <c r="O8" s="118">
        <f>C8/VLOOKUP(F8,'Kursy walut'!C:E,3,0)</f>
        <v>9.99</v>
      </c>
      <c r="P8" s="81" t="s">
        <v>85</v>
      </c>
    </row>
    <row r="9" spans="1:16" ht="13" x14ac:dyDescent="0.15">
      <c r="A9" s="73" t="s">
        <v>535</v>
      </c>
      <c r="B9" s="74" t="s">
        <v>536</v>
      </c>
      <c r="C9" s="78">
        <v>4.99</v>
      </c>
      <c r="D9" s="71" t="s">
        <v>823</v>
      </c>
      <c r="E9" s="71" t="s">
        <v>823</v>
      </c>
      <c r="F9" s="96" t="s">
        <v>86</v>
      </c>
      <c r="G9" s="76" t="s">
        <v>224</v>
      </c>
      <c r="H9" s="77">
        <f t="shared" si="0"/>
        <v>0</v>
      </c>
      <c r="I9" s="73" t="s">
        <v>535</v>
      </c>
      <c r="J9" s="74" t="s">
        <v>536</v>
      </c>
      <c r="K9" s="118">
        <f>IF(F9="USD",C9*VLOOKUP(L9,'Kursy walut'!C:E,2,0),IF(F9="EUR",C9*VLOOKUP(L9,'Kursy walut'!C:E,3,0),C9))</f>
        <v>8.4830000000000005</v>
      </c>
      <c r="L9" s="85" t="s">
        <v>224</v>
      </c>
      <c r="M9" s="134">
        <f>C9/VLOOKUP(F9,'Kursy walut'!C:E,2,0)</f>
        <v>4.99</v>
      </c>
      <c r="N9" s="81" t="s">
        <v>86</v>
      </c>
      <c r="O9" s="118">
        <f>C9/VLOOKUP(F9,'Kursy walut'!C:E,3,0)</f>
        <v>5.1012062972807204</v>
      </c>
      <c r="P9" s="81" t="s">
        <v>85</v>
      </c>
    </row>
    <row r="10" spans="1:16" ht="13" x14ac:dyDescent="0.15">
      <c r="A10" s="73" t="s">
        <v>547</v>
      </c>
      <c r="B10" s="74" t="s">
        <v>548</v>
      </c>
      <c r="C10" s="78">
        <v>4.99</v>
      </c>
      <c r="D10" s="78">
        <v>6.49</v>
      </c>
      <c r="E10" s="78">
        <v>7.99</v>
      </c>
      <c r="F10" s="96" t="s">
        <v>86</v>
      </c>
      <c r="G10" s="76" t="s">
        <v>244</v>
      </c>
      <c r="H10" s="77">
        <f t="shared" si="0"/>
        <v>0</v>
      </c>
      <c r="I10" s="73" t="s">
        <v>547</v>
      </c>
      <c r="J10" s="74" t="s">
        <v>548</v>
      </c>
      <c r="K10" s="118">
        <f>IF(F10="USD",C10*VLOOKUP(L10,'Kursy walut'!C:E,2,0),IF(F10="EUR",C10*VLOOKUP(L10,'Kursy walut'!C:E,3,0),C10))</f>
        <v>12.657135000000002</v>
      </c>
      <c r="L10" s="85" t="s">
        <v>244</v>
      </c>
      <c r="M10" s="134">
        <f>C10/VLOOKUP(F10,'Kursy walut'!C:E,2,0)</f>
        <v>4.99</v>
      </c>
      <c r="N10" s="81" t="s">
        <v>86</v>
      </c>
      <c r="O10" s="118">
        <f>C10/VLOOKUP(F10,'Kursy walut'!C:E,3,0)</f>
        <v>5.1012062972807204</v>
      </c>
      <c r="P10" s="81" t="s">
        <v>85</v>
      </c>
    </row>
    <row r="11" spans="1:16" ht="13" hidden="1" x14ac:dyDescent="0.15">
      <c r="A11" s="73" t="s">
        <v>537</v>
      </c>
      <c r="B11" s="74" t="s">
        <v>538</v>
      </c>
      <c r="C11" s="78">
        <v>9.99</v>
      </c>
      <c r="D11" s="78">
        <v>12.99</v>
      </c>
      <c r="E11" s="78">
        <v>15.99</v>
      </c>
      <c r="F11" s="96" t="s">
        <v>85</v>
      </c>
      <c r="G11" s="76" t="s">
        <v>85</v>
      </c>
      <c r="H11" s="77">
        <f t="shared" si="0"/>
        <v>1</v>
      </c>
      <c r="I11" s="73" t="s">
        <v>537</v>
      </c>
      <c r="J11" s="74" t="s">
        <v>538</v>
      </c>
      <c r="K11" s="118">
        <f>IF(F11="USD",C11*VLOOKUP(L11,'Kursy walut'!C:E,2,0),IF(F11="EUR",C11*VLOOKUP(L11,'Kursy walut'!C:E,3,0),C11))</f>
        <v>9.99</v>
      </c>
      <c r="L11" s="79" t="s">
        <v>85</v>
      </c>
      <c r="M11" s="134">
        <f>C11/VLOOKUP(F11,'Kursy walut'!C:E,2,0)</f>
        <v>9.7720825589357343</v>
      </c>
      <c r="N11" s="81" t="s">
        <v>86</v>
      </c>
      <c r="O11" s="118">
        <f>C11/VLOOKUP(F11,'Kursy walut'!C:E,3,0)</f>
        <v>9.99</v>
      </c>
      <c r="P11" s="81" t="s">
        <v>85</v>
      </c>
    </row>
    <row r="12" spans="1:16" ht="13" x14ac:dyDescent="0.15">
      <c r="A12" s="73" t="s">
        <v>541</v>
      </c>
      <c r="B12" s="74" t="s">
        <v>542</v>
      </c>
      <c r="C12" s="78">
        <v>5.99</v>
      </c>
      <c r="D12" s="78">
        <v>7.99</v>
      </c>
      <c r="E12" s="78">
        <v>9.99</v>
      </c>
      <c r="F12" s="96" t="s">
        <v>86</v>
      </c>
      <c r="G12" s="76" t="s">
        <v>236</v>
      </c>
      <c r="H12" s="77">
        <f t="shared" si="0"/>
        <v>0</v>
      </c>
      <c r="I12" s="73" t="s">
        <v>541</v>
      </c>
      <c r="J12" s="74" t="s">
        <v>542</v>
      </c>
      <c r="K12" s="118">
        <f>IF(F12="USD",C12*VLOOKUP(L12,'Kursy walut'!C:E,2,0),IF(F12="EUR",C12*VLOOKUP(L12,'Kursy walut'!C:E,3,0),C12))</f>
        <v>41.462780000000002</v>
      </c>
      <c r="L12" s="85" t="s">
        <v>236</v>
      </c>
      <c r="M12" s="134">
        <f>C12/VLOOKUP(F12,'Kursy walut'!C:E,2,0)</f>
        <v>5.99</v>
      </c>
      <c r="N12" s="81" t="s">
        <v>86</v>
      </c>
      <c r="O12" s="118">
        <f>C12/VLOOKUP(F12,'Kursy walut'!C:E,3,0)</f>
        <v>6.1234921283991008</v>
      </c>
      <c r="P12" s="81" t="s">
        <v>85</v>
      </c>
    </row>
    <row r="13" spans="1:16" ht="13" x14ac:dyDescent="0.15">
      <c r="A13" s="73" t="s">
        <v>53</v>
      </c>
      <c r="B13" s="74" t="s">
        <v>95</v>
      </c>
      <c r="C13" s="78">
        <v>4.99</v>
      </c>
      <c r="D13" s="78">
        <v>6.49</v>
      </c>
      <c r="E13" s="78">
        <v>7.99</v>
      </c>
      <c r="F13" s="96" t="s">
        <v>85</v>
      </c>
      <c r="G13" s="76" t="s">
        <v>96</v>
      </c>
      <c r="H13" s="77">
        <f t="shared" si="0"/>
        <v>0</v>
      </c>
      <c r="I13" s="73" t="s">
        <v>53</v>
      </c>
      <c r="J13" s="74" t="s">
        <v>95</v>
      </c>
      <c r="K13" s="118">
        <f>IF(F13="USD",C13*VLOOKUP(L13,'Kursy walut'!C:E,2,0),IF(F13="EUR",C13*VLOOKUP(L13,'Kursy walut'!C:E,3,0),C13))</f>
        <v>9.759442</v>
      </c>
      <c r="L13" s="85" t="s">
        <v>96</v>
      </c>
      <c r="M13" s="134">
        <f>C13/VLOOKUP(F13,'Kursy walut'!C:E,2,0)</f>
        <v>4.8811503472561872</v>
      </c>
      <c r="N13" s="81" t="s">
        <v>86</v>
      </c>
      <c r="O13" s="118">
        <f>C13/VLOOKUP(F13,'Kursy walut'!C:E,3,0)</f>
        <v>4.99</v>
      </c>
      <c r="P13" s="81" t="s">
        <v>85</v>
      </c>
    </row>
    <row r="14" spans="1:16" ht="13" hidden="1" x14ac:dyDescent="0.15">
      <c r="A14" s="73" t="s">
        <v>77</v>
      </c>
      <c r="B14" s="74" t="s">
        <v>97</v>
      </c>
      <c r="C14" s="78">
        <v>19.899999999999999</v>
      </c>
      <c r="D14" s="78">
        <v>24.9</v>
      </c>
      <c r="E14" s="78">
        <v>34.9</v>
      </c>
      <c r="F14" s="96" t="s">
        <v>98</v>
      </c>
      <c r="G14" s="76" t="s">
        <v>98</v>
      </c>
      <c r="H14" s="77">
        <f t="shared" si="0"/>
        <v>1</v>
      </c>
      <c r="I14" s="73" t="s">
        <v>77</v>
      </c>
      <c r="J14" s="74" t="s">
        <v>97</v>
      </c>
      <c r="K14" s="118">
        <f>IF(F14="USD",C14*VLOOKUP(L14,'Kursy walut'!C:E,2,0),IF(F14="EUR",C14*VLOOKUP(L14,'Kursy walut'!C:E,3,0),C14))</f>
        <v>19.899999999999999</v>
      </c>
      <c r="L14" s="79" t="s">
        <v>98</v>
      </c>
      <c r="M14" s="134">
        <f>C14/VLOOKUP(F14,'Kursy walut'!C:E,2,0)</f>
        <v>3.7797489031130693</v>
      </c>
      <c r="N14" s="81" t="s">
        <v>86</v>
      </c>
      <c r="O14" s="118">
        <f>C14/VLOOKUP(F14,'Kursy walut'!C:E,3,0)</f>
        <v>3.8586830062824791</v>
      </c>
      <c r="P14" s="81" t="s">
        <v>85</v>
      </c>
    </row>
    <row r="15" spans="1:16" ht="13" x14ac:dyDescent="0.15">
      <c r="A15" s="73" t="s">
        <v>54</v>
      </c>
      <c r="B15" s="74" t="s">
        <v>99</v>
      </c>
      <c r="C15" s="78">
        <v>4.99</v>
      </c>
      <c r="D15" s="78">
        <v>6.99</v>
      </c>
      <c r="E15" s="78">
        <v>8.99</v>
      </c>
      <c r="F15" s="96" t="s">
        <v>85</v>
      </c>
      <c r="G15" s="76" t="s">
        <v>100</v>
      </c>
      <c r="H15" s="77">
        <f t="shared" si="0"/>
        <v>0</v>
      </c>
      <c r="I15" s="73" t="s">
        <v>54</v>
      </c>
      <c r="J15" s="74" t="s">
        <v>99</v>
      </c>
      <c r="K15" s="118">
        <f>IF(F15="USD",C15*VLOOKUP(L15,'Kursy walut'!C:E,2,0),IF(F15="EUR",C15*VLOOKUP(L15,'Kursy walut'!C:E,3,0),C15))</f>
        <v>9.759442</v>
      </c>
      <c r="L15" s="85" t="s">
        <v>100</v>
      </c>
      <c r="M15" s="134">
        <f>C15/VLOOKUP(F15,'Kursy walut'!C:E,2,0)</f>
        <v>4.8811503472561872</v>
      </c>
      <c r="N15" s="81" t="s">
        <v>86</v>
      </c>
      <c r="O15" s="118">
        <f>C15/VLOOKUP(F15,'Kursy walut'!C:E,3,0)</f>
        <v>4.99</v>
      </c>
      <c r="P15" s="81" t="s">
        <v>85</v>
      </c>
    </row>
    <row r="16" spans="1:16" ht="13" x14ac:dyDescent="0.15">
      <c r="A16" s="73" t="s">
        <v>642</v>
      </c>
      <c r="B16" s="74" t="s">
        <v>643</v>
      </c>
      <c r="C16" s="78">
        <v>2.99</v>
      </c>
      <c r="D16" s="71" t="s">
        <v>823</v>
      </c>
      <c r="E16" s="71" t="s">
        <v>823</v>
      </c>
      <c r="F16" s="96" t="s">
        <v>86</v>
      </c>
      <c r="G16" s="76" t="s">
        <v>347</v>
      </c>
      <c r="H16" s="77">
        <f t="shared" si="0"/>
        <v>0</v>
      </c>
      <c r="I16" s="73" t="s">
        <v>642</v>
      </c>
      <c r="J16" s="74" t="s">
        <v>643</v>
      </c>
      <c r="K16" s="118">
        <f>IF(F16="USD",C16*VLOOKUP(L16,'Kursy walut'!C:E,2,0),IF(F16="EUR",C16*VLOOKUP(L16,'Kursy walut'!C:E,3,0),C16))</f>
        <v>12372.577841</v>
      </c>
      <c r="L16" s="85" t="s">
        <v>347</v>
      </c>
      <c r="M16" s="134">
        <f>C16/VLOOKUP(F16,'Kursy walut'!C:E,2,0)</f>
        <v>2.99</v>
      </c>
      <c r="N16" s="81" t="s">
        <v>86</v>
      </c>
      <c r="O16" s="118">
        <f>C16/VLOOKUP(F16,'Kursy walut'!C:E,3,0)</f>
        <v>3.0566346350439586</v>
      </c>
      <c r="P16" s="81" t="s">
        <v>85</v>
      </c>
    </row>
    <row r="17" spans="1:16" ht="13" x14ac:dyDescent="0.15">
      <c r="A17" s="73" t="s">
        <v>560</v>
      </c>
      <c r="B17" s="74" t="s">
        <v>561</v>
      </c>
      <c r="C17" s="78">
        <v>2.99</v>
      </c>
      <c r="D17" s="71" t="s">
        <v>823</v>
      </c>
      <c r="E17" s="71" t="s">
        <v>823</v>
      </c>
      <c r="F17" s="96" t="s">
        <v>86</v>
      </c>
      <c r="G17" s="76" t="s">
        <v>255</v>
      </c>
      <c r="H17" s="77">
        <f t="shared" si="0"/>
        <v>0</v>
      </c>
      <c r="I17" s="73" t="s">
        <v>560</v>
      </c>
      <c r="J17" s="74" t="s">
        <v>561</v>
      </c>
      <c r="K17" s="118">
        <f>IF(F17="USD",C17*VLOOKUP(L17,'Kursy walut'!C:E,2,0),IF(F17="EUR",C17*VLOOKUP(L17,'Kursy walut'!C:E,3,0),C17))</f>
        <v>2007.262647</v>
      </c>
      <c r="L17" s="85" t="s">
        <v>255</v>
      </c>
      <c r="M17" s="134">
        <f>C17/VLOOKUP(F17,'Kursy walut'!C:E,2,0)</f>
        <v>2.99</v>
      </c>
      <c r="N17" s="81" t="s">
        <v>86</v>
      </c>
      <c r="O17" s="118">
        <f>C17/VLOOKUP(F17,'Kursy walut'!C:E,3,0)</f>
        <v>3.0566346350439586</v>
      </c>
      <c r="P17" s="81" t="s">
        <v>85</v>
      </c>
    </row>
    <row r="18" spans="1:16" ht="13" hidden="1" x14ac:dyDescent="0.15">
      <c r="A18" s="73" t="s">
        <v>37</v>
      </c>
      <c r="B18" s="74" t="s">
        <v>101</v>
      </c>
      <c r="C18" s="78">
        <v>9.99</v>
      </c>
      <c r="D18" s="78">
        <v>12.99</v>
      </c>
      <c r="E18" s="78">
        <v>15.99</v>
      </c>
      <c r="F18" s="96" t="s">
        <v>102</v>
      </c>
      <c r="G18" s="76" t="s">
        <v>102</v>
      </c>
      <c r="H18" s="77">
        <f t="shared" si="0"/>
        <v>1</v>
      </c>
      <c r="I18" s="73" t="s">
        <v>37</v>
      </c>
      <c r="J18" s="74" t="s">
        <v>101</v>
      </c>
      <c r="K18" s="118">
        <f>IF(F18="USD",C18*VLOOKUP(L18,'Kursy walut'!C:E,2,0),IF(F18="EUR",C18*VLOOKUP(L18,'Kursy walut'!C:E,3,0),C18))</f>
        <v>9.99</v>
      </c>
      <c r="L18" s="79" t="s">
        <v>102</v>
      </c>
      <c r="M18" s="134">
        <f>C18/VLOOKUP(F18,'Kursy walut'!C:E,2,0)</f>
        <v>7.2680974899963617</v>
      </c>
      <c r="N18" s="81" t="s">
        <v>86</v>
      </c>
      <c r="O18" s="118">
        <f>C18/VLOOKUP(F18,'Kursy walut'!C:E,3,0)</f>
        <v>7.429718875502008</v>
      </c>
      <c r="P18" s="81" t="s">
        <v>85</v>
      </c>
    </row>
    <row r="19" spans="1:16" ht="13" hidden="1" x14ac:dyDescent="0.15">
      <c r="A19" s="73" t="s">
        <v>68</v>
      </c>
      <c r="B19" s="74" t="s">
        <v>103</v>
      </c>
      <c r="C19" s="78">
        <v>4150</v>
      </c>
      <c r="D19" s="78">
        <v>5220</v>
      </c>
      <c r="E19" s="78">
        <v>6290</v>
      </c>
      <c r="F19" s="96" t="s">
        <v>104</v>
      </c>
      <c r="G19" s="76" t="s">
        <v>104</v>
      </c>
      <c r="H19" s="77">
        <f t="shared" si="0"/>
        <v>1</v>
      </c>
      <c r="I19" s="73" t="s">
        <v>68</v>
      </c>
      <c r="J19" s="74" t="s">
        <v>103</v>
      </c>
      <c r="K19" s="118">
        <f>IF(F19="USD",C19*VLOOKUP(L19,'Kursy walut'!C:E,2,0),IF(F19="EUR",C19*VLOOKUP(L19,'Kursy walut'!C:E,3,0),C19))</f>
        <v>4150</v>
      </c>
      <c r="L19" s="79" t="s">
        <v>104</v>
      </c>
      <c r="M19" s="134">
        <f>C19/VLOOKUP(F19,'Kursy walut'!C:E,2,0)</f>
        <v>4.3879033434766148</v>
      </c>
      <c r="N19" s="81" t="s">
        <v>86</v>
      </c>
      <c r="O19" s="118">
        <f>C19/VLOOKUP(F19,'Kursy walut'!C:E,3,0)</f>
        <v>4.4843291605659976</v>
      </c>
      <c r="P19" s="81" t="s">
        <v>85</v>
      </c>
    </row>
    <row r="20" spans="1:16" ht="13" hidden="1" x14ac:dyDescent="0.15">
      <c r="A20" s="73" t="s">
        <v>80</v>
      </c>
      <c r="B20" s="74" t="s">
        <v>105</v>
      </c>
      <c r="C20" s="78">
        <v>14900</v>
      </c>
      <c r="D20" s="78">
        <v>19900</v>
      </c>
      <c r="E20" s="78">
        <v>23900</v>
      </c>
      <c r="F20" s="96" t="s">
        <v>106</v>
      </c>
      <c r="G20" s="76" t="s">
        <v>106</v>
      </c>
      <c r="H20" s="77">
        <f t="shared" si="0"/>
        <v>1</v>
      </c>
      <c r="I20" s="73" t="s">
        <v>80</v>
      </c>
      <c r="J20" s="74" t="s">
        <v>105</v>
      </c>
      <c r="K20" s="118">
        <f>IF(F20="USD",C20*VLOOKUP(L20,'Kursy walut'!C:E,2,0),IF(F20="EUR",C20*VLOOKUP(L20,'Kursy walut'!C:E,3,0),C20))</f>
        <v>14900</v>
      </c>
      <c r="L20" s="79" t="s">
        <v>106</v>
      </c>
      <c r="M20" s="134">
        <f>C20/VLOOKUP(F20,'Kursy walut'!C:E,2,0)</f>
        <v>3.2411178741712336</v>
      </c>
      <c r="N20" s="81" t="s">
        <v>86</v>
      </c>
      <c r="O20" s="118">
        <f>C20/VLOOKUP(F20,'Kursy walut'!C:E,3,0)</f>
        <v>3.3275318894241943</v>
      </c>
      <c r="P20" s="81" t="s">
        <v>85</v>
      </c>
    </row>
    <row r="21" spans="1:16" ht="13" x14ac:dyDescent="0.15">
      <c r="A21" s="73" t="s">
        <v>568</v>
      </c>
      <c r="B21" s="74" t="s">
        <v>569</v>
      </c>
      <c r="C21" s="78">
        <v>5.99</v>
      </c>
      <c r="D21" s="78">
        <v>7.99</v>
      </c>
      <c r="E21" s="78">
        <v>9.99</v>
      </c>
      <c r="F21" s="96" t="s">
        <v>86</v>
      </c>
      <c r="G21" s="76" t="s">
        <v>263</v>
      </c>
      <c r="H21" s="77">
        <f t="shared" si="0"/>
        <v>0</v>
      </c>
      <c r="I21" s="73" t="s">
        <v>568</v>
      </c>
      <c r="J21" s="74" t="s">
        <v>569</v>
      </c>
      <c r="K21" s="118">
        <f>IF(F21="USD",C21*VLOOKUP(L21,'Kursy walut'!C:E,2,0),IF(F21="EUR",C21*VLOOKUP(L21,'Kursy walut'!C:E,3,0),C21))</f>
        <v>3771.6370440000005</v>
      </c>
      <c r="L21" s="85" t="s">
        <v>263</v>
      </c>
      <c r="M21" s="134">
        <f>C21/VLOOKUP(F21,'Kursy walut'!C:E,2,0)</f>
        <v>5.99</v>
      </c>
      <c r="N21" s="81" t="s">
        <v>86</v>
      </c>
      <c r="O21" s="118">
        <f>C21/VLOOKUP(F21,'Kursy walut'!C:E,3,0)</f>
        <v>6.1234921283991008</v>
      </c>
      <c r="P21" s="81" t="s">
        <v>85</v>
      </c>
    </row>
    <row r="22" spans="1:16" ht="13" x14ac:dyDescent="0.15">
      <c r="A22" s="73" t="s">
        <v>555</v>
      </c>
      <c r="B22" s="74" t="s">
        <v>556</v>
      </c>
      <c r="C22" s="78">
        <v>2.99</v>
      </c>
      <c r="D22" s="71" t="s">
        <v>823</v>
      </c>
      <c r="E22" s="71" t="s">
        <v>823</v>
      </c>
      <c r="F22" s="96" t="s">
        <v>86</v>
      </c>
      <c r="G22" s="76" t="s">
        <v>251</v>
      </c>
      <c r="H22" s="77">
        <f t="shared" si="0"/>
        <v>0</v>
      </c>
      <c r="I22" s="73" t="s">
        <v>555</v>
      </c>
      <c r="J22" s="74" t="s">
        <v>556</v>
      </c>
      <c r="K22" s="118">
        <f>IF(F22="USD",C22*VLOOKUP(L22,'Kursy walut'!C:E,2,0),IF(F22="EUR",C22*VLOOKUP(L22,'Kursy walut'!C:E,3,0),C22))</f>
        <v>2003.426477</v>
      </c>
      <c r="L22" s="85" t="s">
        <v>251</v>
      </c>
      <c r="M22" s="134">
        <f>C22/VLOOKUP(F22,'Kursy walut'!C:E,2,0)</f>
        <v>2.99</v>
      </c>
      <c r="N22" s="81" t="s">
        <v>86</v>
      </c>
      <c r="O22" s="118">
        <f>C22/VLOOKUP(F22,'Kursy walut'!C:E,3,0)</f>
        <v>3.0566346350439586</v>
      </c>
      <c r="P22" s="81" t="s">
        <v>85</v>
      </c>
    </row>
    <row r="23" spans="1:16" ht="13" x14ac:dyDescent="0.15">
      <c r="A23" s="73" t="s">
        <v>46</v>
      </c>
      <c r="B23" s="74" t="s">
        <v>107</v>
      </c>
      <c r="C23" s="78">
        <v>5.99</v>
      </c>
      <c r="D23" s="78">
        <v>7.99</v>
      </c>
      <c r="E23" s="78">
        <v>9.99</v>
      </c>
      <c r="F23" s="96" t="s">
        <v>85</v>
      </c>
      <c r="G23" s="76" t="s">
        <v>108</v>
      </c>
      <c r="H23" s="77">
        <f t="shared" si="0"/>
        <v>0</v>
      </c>
      <c r="I23" s="73" t="s">
        <v>46</v>
      </c>
      <c r="J23" s="74" t="s">
        <v>107</v>
      </c>
      <c r="K23" s="118">
        <f>IF(F23="USD",C23*VLOOKUP(L23,'Kursy walut'!C:E,2,0),IF(F23="EUR",C23*VLOOKUP(L23,'Kursy walut'!C:E,3,0),C23))</f>
        <v>45.446729000000005</v>
      </c>
      <c r="L23" s="85" t="s">
        <v>108</v>
      </c>
      <c r="M23" s="134">
        <f>C23/VLOOKUP(F23,'Kursy walut'!C:E,2,0)</f>
        <v>5.8593367895920965</v>
      </c>
      <c r="N23" s="81" t="s">
        <v>86</v>
      </c>
      <c r="O23" s="118">
        <f>C23/VLOOKUP(F23,'Kursy walut'!C:E,3,0)</f>
        <v>5.99</v>
      </c>
      <c r="P23" s="81" t="s">
        <v>85</v>
      </c>
    </row>
    <row r="24" spans="1:16" ht="13" hidden="1" x14ac:dyDescent="0.15">
      <c r="A24" s="73" t="s">
        <v>574</v>
      </c>
      <c r="B24" s="74" t="s">
        <v>575</v>
      </c>
      <c r="C24" s="78">
        <v>6.99</v>
      </c>
      <c r="D24" s="78">
        <v>8.99</v>
      </c>
      <c r="E24" s="78">
        <v>10.99</v>
      </c>
      <c r="F24" s="96" t="s">
        <v>85</v>
      </c>
      <c r="G24" s="76" t="s">
        <v>85</v>
      </c>
      <c r="H24" s="77">
        <f t="shared" si="0"/>
        <v>1</v>
      </c>
      <c r="I24" s="73" t="s">
        <v>574</v>
      </c>
      <c r="J24" s="74" t="s">
        <v>575</v>
      </c>
      <c r="K24" s="118">
        <f>IF(F24="USD",C24*VLOOKUP(L24,'Kursy walut'!C:E,2,0),IF(F24="EUR",C24*VLOOKUP(L24,'Kursy walut'!C:E,3,0),C24))</f>
        <v>6.99</v>
      </c>
      <c r="L24" s="79" t="s">
        <v>85</v>
      </c>
      <c r="M24" s="134">
        <f>C24/VLOOKUP(F24,'Kursy walut'!C:E,2,0)</f>
        <v>6.8375232319280057</v>
      </c>
      <c r="N24" s="81" t="s">
        <v>86</v>
      </c>
      <c r="O24" s="118">
        <f>C24/VLOOKUP(F24,'Kursy walut'!C:E,3,0)</f>
        <v>6.99</v>
      </c>
      <c r="P24" s="81" t="s">
        <v>85</v>
      </c>
    </row>
    <row r="25" spans="1:16" ht="13" x14ac:dyDescent="0.15">
      <c r="A25" s="73" t="s">
        <v>41</v>
      </c>
      <c r="B25" s="74" t="s">
        <v>109</v>
      </c>
      <c r="C25" s="78">
        <v>5.99</v>
      </c>
      <c r="D25" s="78">
        <v>7.99</v>
      </c>
      <c r="E25" s="78">
        <v>9.99</v>
      </c>
      <c r="F25" s="96" t="s">
        <v>85</v>
      </c>
      <c r="G25" s="76" t="s">
        <v>110</v>
      </c>
      <c r="H25" s="77">
        <f t="shared" si="0"/>
        <v>0</v>
      </c>
      <c r="I25" s="73" t="s">
        <v>41</v>
      </c>
      <c r="J25" s="74" t="s">
        <v>109</v>
      </c>
      <c r="K25" s="118">
        <f>IF(F25="USD",C25*VLOOKUP(L25,'Kursy walut'!C:E,2,0),IF(F25="EUR",C25*VLOOKUP(L25,'Kursy walut'!C:E,3,0),C25))</f>
        <v>146.99160500000002</v>
      </c>
      <c r="L25" s="85" t="s">
        <v>110</v>
      </c>
      <c r="M25" s="134">
        <f>C25/VLOOKUP(F25,'Kursy walut'!C:E,2,0)</f>
        <v>5.8593367895920965</v>
      </c>
      <c r="N25" s="81" t="s">
        <v>86</v>
      </c>
      <c r="O25" s="118">
        <f>C25/VLOOKUP(F25,'Kursy walut'!C:E,3,0)</f>
        <v>5.99</v>
      </c>
      <c r="P25" s="81" t="s">
        <v>85</v>
      </c>
    </row>
    <row r="26" spans="1:16" ht="13" hidden="1" x14ac:dyDescent="0.15">
      <c r="A26" s="73" t="s">
        <v>581</v>
      </c>
      <c r="B26" s="74" t="s">
        <v>582</v>
      </c>
      <c r="C26" s="78">
        <v>99</v>
      </c>
      <c r="D26" s="78">
        <v>124</v>
      </c>
      <c r="E26" s="78">
        <v>149</v>
      </c>
      <c r="F26" s="96" t="s">
        <v>274</v>
      </c>
      <c r="G26" s="76" t="s">
        <v>274</v>
      </c>
      <c r="H26" s="77">
        <f t="shared" si="0"/>
        <v>1</v>
      </c>
      <c r="I26" s="73" t="s">
        <v>581</v>
      </c>
      <c r="J26" s="74" t="s">
        <v>582</v>
      </c>
      <c r="K26" s="118">
        <f>IF(F26="USD",C26*VLOOKUP(L26,'Kursy walut'!C:E,2,0),IF(F26="EUR",C26*VLOOKUP(L26,'Kursy walut'!C:E,3,0),C26))</f>
        <v>99</v>
      </c>
      <c r="L26" s="79" t="s">
        <v>274</v>
      </c>
      <c r="M26" s="134">
        <f>C26/VLOOKUP(F26,'Kursy walut'!C:E,2,0)</f>
        <v>13.018949804715753</v>
      </c>
      <c r="N26" s="81" t="s">
        <v>86</v>
      </c>
      <c r="O26" s="118">
        <f>C26/VLOOKUP(F26,'Kursy walut'!C:E,3,0)</f>
        <v>13.309671694764862</v>
      </c>
      <c r="P26" s="81" t="s">
        <v>85</v>
      </c>
    </row>
    <row r="27" spans="1:16" ht="13" x14ac:dyDescent="0.15">
      <c r="A27" s="73" t="s">
        <v>586</v>
      </c>
      <c r="B27" s="74" t="s">
        <v>587</v>
      </c>
      <c r="C27" s="78">
        <v>5.99</v>
      </c>
      <c r="D27" s="78">
        <v>7.99</v>
      </c>
      <c r="E27" s="78">
        <v>9.99</v>
      </c>
      <c r="F27" s="96" t="s">
        <v>86</v>
      </c>
      <c r="G27" s="76" t="s">
        <v>277</v>
      </c>
      <c r="H27" s="77">
        <f t="shared" si="0"/>
        <v>0</v>
      </c>
      <c r="I27" s="73" t="s">
        <v>586</v>
      </c>
      <c r="J27" s="74" t="s">
        <v>587</v>
      </c>
      <c r="K27" s="118">
        <f>IF(F27="USD",C27*VLOOKUP(L27,'Kursy walut'!C:E,2,0),IF(F27="EUR",C27*VLOOKUP(L27,'Kursy walut'!C:E,3,0),C27))</f>
        <v>321.53002199999997</v>
      </c>
      <c r="L27" s="85" t="s">
        <v>277</v>
      </c>
      <c r="M27" s="134">
        <f>C27/VLOOKUP(F27,'Kursy walut'!C:E,2,0)</f>
        <v>5.99</v>
      </c>
      <c r="N27" s="81" t="s">
        <v>86</v>
      </c>
      <c r="O27" s="118">
        <f>C27/VLOOKUP(F27,'Kursy walut'!C:E,3,0)</f>
        <v>6.1234921283991008</v>
      </c>
      <c r="P27" s="81" t="s">
        <v>85</v>
      </c>
    </row>
    <row r="28" spans="1:16" ht="13" hidden="1" x14ac:dyDescent="0.15">
      <c r="A28" s="73" t="s">
        <v>590</v>
      </c>
      <c r="B28" s="74" t="s">
        <v>591</v>
      </c>
      <c r="C28" s="78">
        <v>5.99</v>
      </c>
      <c r="D28" s="78">
        <v>7.99</v>
      </c>
      <c r="E28" s="78">
        <v>9.99</v>
      </c>
      <c r="F28" s="96" t="s">
        <v>86</v>
      </c>
      <c r="G28" s="76" t="s">
        <v>86</v>
      </c>
      <c r="H28" s="77">
        <f t="shared" si="0"/>
        <v>1</v>
      </c>
      <c r="I28" s="73" t="s">
        <v>590</v>
      </c>
      <c r="J28" s="74" t="s">
        <v>591</v>
      </c>
      <c r="K28" s="118">
        <f>IF(F28="USD",C28*VLOOKUP(L28,'Kursy walut'!C:E,2,0),IF(F28="EUR",C28*VLOOKUP(L28,'Kursy walut'!C:E,3,0),C28))</f>
        <v>5.99</v>
      </c>
      <c r="L28" s="79" t="s">
        <v>86</v>
      </c>
      <c r="M28" s="134">
        <f>C28/VLOOKUP(F28,'Kursy walut'!C:E,2,0)</f>
        <v>5.99</v>
      </c>
      <c r="N28" s="81" t="s">
        <v>86</v>
      </c>
      <c r="O28" s="118">
        <f>C28/VLOOKUP(F28,'Kursy walut'!C:E,3,0)</f>
        <v>6.1234921283991008</v>
      </c>
      <c r="P28" s="81" t="s">
        <v>85</v>
      </c>
    </row>
    <row r="29" spans="1:16" ht="13" hidden="1" x14ac:dyDescent="0.15">
      <c r="A29" s="73" t="s">
        <v>71</v>
      </c>
      <c r="B29" s="74" t="s">
        <v>111</v>
      </c>
      <c r="C29" s="78">
        <v>49.99</v>
      </c>
      <c r="D29" s="78">
        <v>64.989999999999995</v>
      </c>
      <c r="E29" s="78">
        <v>79.989999999999995</v>
      </c>
      <c r="F29" s="96" t="s">
        <v>112</v>
      </c>
      <c r="G29" s="76" t="s">
        <v>112</v>
      </c>
      <c r="H29" s="77">
        <f t="shared" si="0"/>
        <v>1</v>
      </c>
      <c r="I29" s="73" t="s">
        <v>71</v>
      </c>
      <c r="J29" s="74" t="s">
        <v>111</v>
      </c>
      <c r="K29" s="118">
        <f>IF(F29="USD",C29*VLOOKUP(L29,'Kursy walut'!C:E,2,0),IF(F29="EUR",C29*VLOOKUP(L29,'Kursy walut'!C:E,3,0),C29))</f>
        <v>49.99</v>
      </c>
      <c r="L29" s="79" t="s">
        <v>112</v>
      </c>
      <c r="M29" s="134">
        <f>C29/VLOOKUP(F29,'Kursy walut'!C:E,2,0)</f>
        <v>2.544162777560067</v>
      </c>
      <c r="N29" s="81" t="s">
        <v>86</v>
      </c>
      <c r="O29" s="118">
        <f>C29/VLOOKUP(F29,'Kursy walut'!C:E,3,0)</f>
        <v>2.6006253153888972</v>
      </c>
      <c r="P29" s="81" t="s">
        <v>85</v>
      </c>
    </row>
    <row r="30" spans="1:16" ht="13" hidden="1" x14ac:dyDescent="0.15">
      <c r="A30" s="73" t="s">
        <v>723</v>
      </c>
      <c r="B30" s="74" t="s">
        <v>724</v>
      </c>
      <c r="C30" s="78">
        <v>5.99</v>
      </c>
      <c r="D30" s="78">
        <v>7.99</v>
      </c>
      <c r="E30" s="78">
        <v>10.99</v>
      </c>
      <c r="F30" s="96" t="s">
        <v>86</v>
      </c>
      <c r="G30" s="76" t="s">
        <v>86</v>
      </c>
      <c r="H30" s="77">
        <f t="shared" si="0"/>
        <v>1</v>
      </c>
      <c r="I30" s="73" t="s">
        <v>723</v>
      </c>
      <c r="J30" s="74" t="s">
        <v>724</v>
      </c>
      <c r="K30" s="118">
        <f>IF(F30="USD",C30*VLOOKUP(L30,'Kursy walut'!C:E,2,0),IF(F30="EUR",C30*VLOOKUP(L30,'Kursy walut'!C:E,3,0),C30))</f>
        <v>5.99</v>
      </c>
      <c r="L30" s="79" t="s">
        <v>86</v>
      </c>
      <c r="M30" s="134">
        <f>C30/VLOOKUP(F30,'Kursy walut'!C:E,2,0)</f>
        <v>5.99</v>
      </c>
      <c r="N30" s="81" t="s">
        <v>86</v>
      </c>
      <c r="O30" s="118">
        <f>C30/VLOOKUP(F30,'Kursy walut'!C:E,3,0)</f>
        <v>6.1234921283991008</v>
      </c>
      <c r="P30" s="81" t="s">
        <v>85</v>
      </c>
    </row>
    <row r="31" spans="1:16" ht="13" hidden="1" x14ac:dyDescent="0.15">
      <c r="A31" s="73" t="s">
        <v>42</v>
      </c>
      <c r="B31" s="74" t="s">
        <v>113</v>
      </c>
      <c r="C31" s="78">
        <v>6.99</v>
      </c>
      <c r="D31" s="78">
        <v>8.99</v>
      </c>
      <c r="E31" s="78">
        <v>11.99</v>
      </c>
      <c r="F31" s="96" t="s">
        <v>85</v>
      </c>
      <c r="G31" s="76" t="s">
        <v>85</v>
      </c>
      <c r="H31" s="77">
        <f t="shared" si="0"/>
        <v>1</v>
      </c>
      <c r="I31" s="73" t="s">
        <v>42</v>
      </c>
      <c r="J31" s="74" t="s">
        <v>113</v>
      </c>
      <c r="K31" s="118">
        <f>IF(F31="USD",C31*VLOOKUP(L31,'Kursy walut'!C:E,2,0),IF(F31="EUR",C31*VLOOKUP(L31,'Kursy walut'!C:E,3,0),C31))</f>
        <v>6.99</v>
      </c>
      <c r="L31" s="79" t="s">
        <v>85</v>
      </c>
      <c r="M31" s="134">
        <f>C31/VLOOKUP(F31,'Kursy walut'!C:E,2,0)</f>
        <v>6.8375232319280057</v>
      </c>
      <c r="N31" s="81" t="s">
        <v>86</v>
      </c>
      <c r="O31" s="118">
        <f>C31/VLOOKUP(F31,'Kursy walut'!C:E,3,0)</f>
        <v>6.99</v>
      </c>
      <c r="P31" s="81" t="s">
        <v>85</v>
      </c>
    </row>
    <row r="32" spans="1:16" ht="13" hidden="1" x14ac:dyDescent="0.15">
      <c r="A32" s="73" t="s">
        <v>32</v>
      </c>
      <c r="B32" s="74" t="s">
        <v>114</v>
      </c>
      <c r="C32" s="78">
        <v>10.99</v>
      </c>
      <c r="D32" s="78">
        <v>14.99</v>
      </c>
      <c r="E32" s="78">
        <v>18.989999999999998</v>
      </c>
      <c r="F32" s="96" t="s">
        <v>85</v>
      </c>
      <c r="G32" s="76" t="s">
        <v>85</v>
      </c>
      <c r="H32" s="77">
        <f t="shared" si="0"/>
        <v>1</v>
      </c>
      <c r="I32" s="73" t="s">
        <v>32</v>
      </c>
      <c r="J32" s="74" t="s">
        <v>114</v>
      </c>
      <c r="K32" s="118">
        <f>IF(F32="USD",C32*VLOOKUP(L32,'Kursy walut'!C:E,2,0),IF(F32="EUR",C32*VLOOKUP(L32,'Kursy walut'!C:E,3,0),C32))</f>
        <v>10.99</v>
      </c>
      <c r="L32" s="79" t="s">
        <v>85</v>
      </c>
      <c r="M32" s="134">
        <f>C32/VLOOKUP(F32,'Kursy walut'!C:E,2,0)</f>
        <v>10.750269001271644</v>
      </c>
      <c r="N32" s="81" t="s">
        <v>86</v>
      </c>
      <c r="O32" s="118">
        <f>C32/VLOOKUP(F32,'Kursy walut'!C:E,3,0)</f>
        <v>10.99</v>
      </c>
      <c r="P32" s="81" t="s">
        <v>85</v>
      </c>
    </row>
    <row r="33" spans="1:16" ht="13" hidden="1" x14ac:dyDescent="0.15">
      <c r="A33" s="73" t="s">
        <v>31</v>
      </c>
      <c r="B33" s="74" t="s">
        <v>115</v>
      </c>
      <c r="C33" s="78">
        <v>9.99</v>
      </c>
      <c r="D33" s="78">
        <v>12.99</v>
      </c>
      <c r="E33" s="78">
        <v>15.99</v>
      </c>
      <c r="F33" s="96" t="s">
        <v>85</v>
      </c>
      <c r="G33" s="76" t="s">
        <v>85</v>
      </c>
      <c r="H33" s="77">
        <f t="shared" si="0"/>
        <v>1</v>
      </c>
      <c r="I33" s="73" t="s">
        <v>31</v>
      </c>
      <c r="J33" s="74" t="s">
        <v>115</v>
      </c>
      <c r="K33" s="118">
        <f>IF(F33="USD",C33*VLOOKUP(L33,'Kursy walut'!C:E,2,0),IF(F33="EUR",C33*VLOOKUP(L33,'Kursy walut'!C:E,3,0),C33))</f>
        <v>9.99</v>
      </c>
      <c r="L33" s="79" t="s">
        <v>85</v>
      </c>
      <c r="M33" s="134">
        <f>C33/VLOOKUP(F33,'Kursy walut'!C:E,2,0)</f>
        <v>9.7720825589357343</v>
      </c>
      <c r="N33" s="81" t="s">
        <v>86</v>
      </c>
      <c r="O33" s="118">
        <f>C33/VLOOKUP(F33,'Kursy walut'!C:E,3,0)</f>
        <v>9.99</v>
      </c>
      <c r="P33" s="81" t="s">
        <v>85</v>
      </c>
    </row>
    <row r="34" spans="1:16" ht="13" x14ac:dyDescent="0.15">
      <c r="A34" s="73" t="s">
        <v>598</v>
      </c>
      <c r="B34" s="74" t="s">
        <v>599</v>
      </c>
      <c r="C34" s="78">
        <v>4.99</v>
      </c>
      <c r="D34" s="71" t="s">
        <v>823</v>
      </c>
      <c r="E34" s="71" t="s">
        <v>823</v>
      </c>
      <c r="F34" s="96" t="s">
        <v>86</v>
      </c>
      <c r="G34" s="76" t="s">
        <v>294</v>
      </c>
      <c r="H34" s="77">
        <f t="shared" si="0"/>
        <v>0</v>
      </c>
      <c r="I34" s="73" t="s">
        <v>598</v>
      </c>
      <c r="J34" s="74" t="s">
        <v>599</v>
      </c>
      <c r="K34" s="118">
        <f>IF(F34="USD",C34*VLOOKUP(L34,'Kursy walut'!C:E,2,0),IF(F34="EUR",C34*VLOOKUP(L34,'Kursy walut'!C:E,3,0),C34))</f>
        <v>13.955533000000001</v>
      </c>
      <c r="L34" s="85" t="s">
        <v>294</v>
      </c>
      <c r="M34" s="134">
        <f>C34/VLOOKUP(F34,'Kursy walut'!C:E,2,0)</f>
        <v>4.99</v>
      </c>
      <c r="N34" s="81" t="s">
        <v>86</v>
      </c>
      <c r="O34" s="118">
        <f>C34/VLOOKUP(F34,'Kursy walut'!C:E,3,0)</f>
        <v>5.1012062972807204</v>
      </c>
      <c r="P34" s="81" t="s">
        <v>85</v>
      </c>
    </row>
    <row r="35" spans="1:16" ht="13" hidden="1" x14ac:dyDescent="0.15">
      <c r="A35" s="73" t="s">
        <v>29</v>
      </c>
      <c r="B35" s="74" t="s">
        <v>116</v>
      </c>
      <c r="C35" s="78">
        <v>9.99</v>
      </c>
      <c r="D35" s="78">
        <v>12.99</v>
      </c>
      <c r="E35" s="78">
        <v>14.99</v>
      </c>
      <c r="F35" s="96" t="s">
        <v>85</v>
      </c>
      <c r="G35" s="76" t="s">
        <v>85</v>
      </c>
      <c r="H35" s="77">
        <f t="shared" si="0"/>
        <v>1</v>
      </c>
      <c r="I35" s="73" t="s">
        <v>29</v>
      </c>
      <c r="J35" s="74" t="s">
        <v>116</v>
      </c>
      <c r="K35" s="118">
        <f>IF(F35="USD",C35*VLOOKUP(L35,'Kursy walut'!C:E,2,0),IF(F35="EUR",C35*VLOOKUP(L35,'Kursy walut'!C:E,3,0),C35))</f>
        <v>9.99</v>
      </c>
      <c r="L35" s="79" t="s">
        <v>85</v>
      </c>
      <c r="M35" s="134">
        <f>C35/VLOOKUP(F35,'Kursy walut'!C:E,2,0)</f>
        <v>9.7720825589357343</v>
      </c>
      <c r="N35" s="81" t="s">
        <v>86</v>
      </c>
      <c r="O35" s="118">
        <f>C35/VLOOKUP(F35,'Kursy walut'!C:E,3,0)</f>
        <v>9.99</v>
      </c>
      <c r="P35" s="81" t="s">
        <v>85</v>
      </c>
    </row>
    <row r="36" spans="1:16" ht="13" hidden="1" x14ac:dyDescent="0.15">
      <c r="A36" s="73" t="s">
        <v>602</v>
      </c>
      <c r="B36" s="74" t="s">
        <v>296</v>
      </c>
      <c r="C36" s="78">
        <v>17</v>
      </c>
      <c r="D36" s="78">
        <v>22</v>
      </c>
      <c r="E36" s="78">
        <v>27</v>
      </c>
      <c r="F36" s="96" t="s">
        <v>297</v>
      </c>
      <c r="G36" s="76" t="s">
        <v>297</v>
      </c>
      <c r="H36" s="77">
        <f t="shared" si="0"/>
        <v>1</v>
      </c>
      <c r="I36" s="73" t="s">
        <v>602</v>
      </c>
      <c r="J36" s="74" t="s">
        <v>296</v>
      </c>
      <c r="K36" s="118">
        <f>IF(F36="USD",C36*VLOOKUP(L36,'Kursy walut'!C:E,2,0),IF(F36="EUR",C36*VLOOKUP(L36,'Kursy walut'!C:E,3,0),C36))</f>
        <v>17</v>
      </c>
      <c r="L36" s="79" t="s">
        <v>297</v>
      </c>
      <c r="M36" s="134">
        <f>C36/VLOOKUP(F36,'Kursy walut'!C:E,2,0)</f>
        <v>1.6036676823228655</v>
      </c>
      <c r="N36" s="81" t="s">
        <v>86</v>
      </c>
      <c r="O36" s="118">
        <f>C36/VLOOKUP(F36,'Kursy walut'!C:E,3,0)</f>
        <v>1.642400997034017</v>
      </c>
      <c r="P36" s="81" t="s">
        <v>85</v>
      </c>
    </row>
    <row r="37" spans="1:16" ht="13" hidden="1" x14ac:dyDescent="0.15">
      <c r="A37" s="73" t="s">
        <v>40</v>
      </c>
      <c r="B37" s="74" t="s">
        <v>117</v>
      </c>
      <c r="C37" s="78">
        <v>6.99</v>
      </c>
      <c r="D37" s="78">
        <v>9.99</v>
      </c>
      <c r="E37" s="78">
        <v>11.99</v>
      </c>
      <c r="F37" s="96" t="s">
        <v>85</v>
      </c>
      <c r="G37" s="76" t="s">
        <v>85</v>
      </c>
      <c r="H37" s="77">
        <f t="shared" si="0"/>
        <v>1</v>
      </c>
      <c r="I37" s="73" t="s">
        <v>40</v>
      </c>
      <c r="J37" s="74" t="s">
        <v>117</v>
      </c>
      <c r="K37" s="118">
        <f>IF(F37="USD",C37*VLOOKUP(L37,'Kursy walut'!C:E,2,0),IF(F37="EUR",C37*VLOOKUP(L37,'Kursy walut'!C:E,3,0),C37))</f>
        <v>6.99</v>
      </c>
      <c r="L37" s="79" t="s">
        <v>85</v>
      </c>
      <c r="M37" s="134">
        <f>C37/VLOOKUP(F37,'Kursy walut'!C:E,2,0)</f>
        <v>6.8375232319280057</v>
      </c>
      <c r="N37" s="81" t="s">
        <v>86</v>
      </c>
      <c r="O37" s="118">
        <f>C37/VLOOKUP(F37,'Kursy walut'!C:E,3,0)</f>
        <v>6.99</v>
      </c>
      <c r="P37" s="81" t="s">
        <v>85</v>
      </c>
    </row>
    <row r="38" spans="1:16" ht="13" x14ac:dyDescent="0.15">
      <c r="A38" s="73" t="s">
        <v>603</v>
      </c>
      <c r="B38" s="74" t="s">
        <v>604</v>
      </c>
      <c r="C38" s="78">
        <v>5.99</v>
      </c>
      <c r="D38" s="78">
        <v>7.99</v>
      </c>
      <c r="E38" s="78">
        <v>9.99</v>
      </c>
      <c r="F38" s="96" t="s">
        <v>86</v>
      </c>
      <c r="G38" s="76" t="s">
        <v>302</v>
      </c>
      <c r="H38" s="77">
        <f t="shared" si="0"/>
        <v>0</v>
      </c>
      <c r="I38" s="73" t="s">
        <v>603</v>
      </c>
      <c r="J38" s="74" t="s">
        <v>604</v>
      </c>
      <c r="K38" s="118">
        <f>IF(F38="USD",C38*VLOOKUP(L38,'Kursy walut'!C:E,2,0),IF(F38="EUR",C38*VLOOKUP(L38,'Kursy walut'!C:E,3,0),C38))</f>
        <v>47.290450999999997</v>
      </c>
      <c r="L38" s="85" t="s">
        <v>302</v>
      </c>
      <c r="M38" s="134">
        <f>C38/VLOOKUP(F38,'Kursy walut'!C:E,2,0)</f>
        <v>5.99</v>
      </c>
      <c r="N38" s="81" t="s">
        <v>86</v>
      </c>
      <c r="O38" s="118">
        <f>C38/VLOOKUP(F38,'Kursy walut'!C:E,3,0)</f>
        <v>6.1234921283991008</v>
      </c>
      <c r="P38" s="81" t="s">
        <v>85</v>
      </c>
    </row>
    <row r="39" spans="1:16" ht="13" x14ac:dyDescent="0.15">
      <c r="A39" s="73" t="s">
        <v>608</v>
      </c>
      <c r="B39" s="74" t="s">
        <v>306</v>
      </c>
      <c r="C39" s="78">
        <v>5.99</v>
      </c>
      <c r="D39" s="78">
        <v>7.99</v>
      </c>
      <c r="E39" s="78">
        <v>9.99</v>
      </c>
      <c r="F39" s="96" t="s">
        <v>86</v>
      </c>
      <c r="G39" s="76" t="s">
        <v>307</v>
      </c>
      <c r="H39" s="77">
        <f t="shared" si="0"/>
        <v>0</v>
      </c>
      <c r="I39" s="73" t="s">
        <v>608</v>
      </c>
      <c r="J39" s="74" t="s">
        <v>306</v>
      </c>
      <c r="K39" s="118">
        <f>IF(F39="USD",C39*VLOOKUP(L39,'Kursy walut'!C:E,2,0),IF(F39="EUR",C39*VLOOKUP(L39,'Kursy walut'!C:E,3,0),C39))</f>
        <v>148.386077</v>
      </c>
      <c r="L39" s="85" t="s">
        <v>307</v>
      </c>
      <c r="M39" s="134">
        <f>C39/VLOOKUP(F39,'Kursy walut'!C:E,2,0)</f>
        <v>5.99</v>
      </c>
      <c r="N39" s="81" t="s">
        <v>86</v>
      </c>
      <c r="O39" s="118">
        <f>C39/VLOOKUP(F39,'Kursy walut'!C:E,3,0)</f>
        <v>6.1234921283991008</v>
      </c>
      <c r="P39" s="81" t="s">
        <v>85</v>
      </c>
    </row>
    <row r="40" spans="1:16" ht="13" hidden="1" x14ac:dyDescent="0.15">
      <c r="A40" s="73" t="s">
        <v>65</v>
      </c>
      <c r="B40" s="74" t="s">
        <v>118</v>
      </c>
      <c r="C40" s="78">
        <v>58</v>
      </c>
      <c r="D40" s="78">
        <v>78</v>
      </c>
      <c r="E40" s="78">
        <v>98</v>
      </c>
      <c r="F40" s="96" t="s">
        <v>119</v>
      </c>
      <c r="G40" s="76" t="s">
        <v>119</v>
      </c>
      <c r="H40" s="77">
        <f t="shared" si="0"/>
        <v>1</v>
      </c>
      <c r="I40" s="73" t="s">
        <v>65</v>
      </c>
      <c r="J40" s="74" t="s">
        <v>118</v>
      </c>
      <c r="K40" s="118">
        <f>IF(F40="USD",C40*VLOOKUP(L40,'Kursy walut'!C:E,2,0),IF(F40="EUR",C40*VLOOKUP(L40,'Kursy walut'!C:E,3,0),C40))</f>
        <v>58</v>
      </c>
      <c r="L40" s="79" t="s">
        <v>119</v>
      </c>
      <c r="M40" s="134">
        <f>C40/VLOOKUP(F40,'Kursy walut'!C:E,2,0)</f>
        <v>7.3886291545115226</v>
      </c>
      <c r="N40" s="81" t="s">
        <v>86</v>
      </c>
      <c r="O40" s="118">
        <f>C40/VLOOKUP(F40,'Kursy walut'!C:E,3,0)</f>
        <v>7.5534602661943584</v>
      </c>
      <c r="P40" s="81" t="s">
        <v>85</v>
      </c>
    </row>
    <row r="41" spans="1:16" ht="13" x14ac:dyDescent="0.15">
      <c r="A41" s="73" t="s">
        <v>72</v>
      </c>
      <c r="B41" s="74" t="s">
        <v>120</v>
      </c>
      <c r="C41" s="78">
        <v>4.99</v>
      </c>
      <c r="D41" s="78">
        <v>6.49</v>
      </c>
      <c r="E41" s="78">
        <v>7.99</v>
      </c>
      <c r="F41" s="96" t="s">
        <v>85</v>
      </c>
      <c r="G41" s="76" t="s">
        <v>121</v>
      </c>
      <c r="H41" s="77">
        <f t="shared" si="0"/>
        <v>0</v>
      </c>
      <c r="I41" s="73" t="s">
        <v>72</v>
      </c>
      <c r="J41" s="74" t="s">
        <v>120</v>
      </c>
      <c r="K41" s="118">
        <f>IF(F41="USD",C41*VLOOKUP(L41,'Kursy walut'!C:E,2,0),IF(F41="EUR",C41*VLOOKUP(L41,'Kursy walut'!C:E,3,0),C41))</f>
        <v>2115.2365490000002</v>
      </c>
      <c r="L41" s="85" t="s">
        <v>121</v>
      </c>
      <c r="M41" s="134">
        <f>C41/VLOOKUP(F41,'Kursy walut'!C:E,2,0)</f>
        <v>4.8811503472561872</v>
      </c>
      <c r="N41" s="81" t="s">
        <v>86</v>
      </c>
      <c r="O41" s="118">
        <f>C41/VLOOKUP(F41,'Kursy walut'!C:E,3,0)</f>
        <v>4.99</v>
      </c>
      <c r="P41" s="81" t="s">
        <v>85</v>
      </c>
    </row>
    <row r="42" spans="1:16" ht="13" x14ac:dyDescent="0.15">
      <c r="A42" s="73" t="s">
        <v>626</v>
      </c>
      <c r="B42" s="74" t="s">
        <v>627</v>
      </c>
      <c r="C42" s="78">
        <v>10.99</v>
      </c>
      <c r="D42" s="78">
        <v>14.99</v>
      </c>
      <c r="E42" s="78">
        <v>18.989999999999998</v>
      </c>
      <c r="F42" s="96" t="s">
        <v>85</v>
      </c>
      <c r="G42" s="76" t="s">
        <v>328</v>
      </c>
      <c r="H42" s="77">
        <f t="shared" si="0"/>
        <v>0</v>
      </c>
      <c r="I42" s="73" t="s">
        <v>626</v>
      </c>
      <c r="J42" s="74" t="s">
        <v>627</v>
      </c>
      <c r="K42" s="118">
        <f>IF(F42="USD",C42*VLOOKUP(L42,'Kursy walut'!C:E,2,0),IF(F42="EUR",C42*VLOOKUP(L42,'Kursy walut'!C:E,3,0),C42))</f>
        <v>1553.839833</v>
      </c>
      <c r="L42" s="85" t="s">
        <v>328</v>
      </c>
      <c r="M42" s="134">
        <f>C42/VLOOKUP(F42,'Kursy walut'!C:E,2,0)</f>
        <v>10.750269001271644</v>
      </c>
      <c r="N42" s="81" t="s">
        <v>86</v>
      </c>
      <c r="O42" s="118">
        <f>C42/VLOOKUP(F42,'Kursy walut'!C:E,3,0)</f>
        <v>10.99</v>
      </c>
      <c r="P42" s="81" t="s">
        <v>85</v>
      </c>
    </row>
    <row r="43" spans="1:16" ht="13" hidden="1" x14ac:dyDescent="0.15">
      <c r="A43" s="73" t="s">
        <v>82</v>
      </c>
      <c r="B43" s="74" t="s">
        <v>122</v>
      </c>
      <c r="C43" s="78">
        <v>119</v>
      </c>
      <c r="D43" s="78">
        <v>149</v>
      </c>
      <c r="E43" s="78">
        <v>179</v>
      </c>
      <c r="F43" s="96" t="s">
        <v>123</v>
      </c>
      <c r="G43" s="76" t="s">
        <v>123</v>
      </c>
      <c r="H43" s="77">
        <f t="shared" si="0"/>
        <v>1</v>
      </c>
      <c r="I43" s="73" t="s">
        <v>82</v>
      </c>
      <c r="J43" s="74" t="s">
        <v>122</v>
      </c>
      <c r="K43" s="118">
        <f>IF(F43="USD",C43*VLOOKUP(L43,'Kursy walut'!C:E,2,0),IF(F43="EUR",C43*VLOOKUP(L43,'Kursy walut'!C:E,3,0),C43))</f>
        <v>119</v>
      </c>
      <c r="L43" s="79" t="s">
        <v>123</v>
      </c>
      <c r="M43" s="134">
        <f>C43/VLOOKUP(F43,'Kursy walut'!C:E,2,0)</f>
        <v>1.4491447610372465</v>
      </c>
      <c r="N43" s="81" t="s">
        <v>86</v>
      </c>
      <c r="O43" s="118">
        <f>C43/VLOOKUP(F43,'Kursy walut'!C:E,3,0)</f>
        <v>1.4815589486160496</v>
      </c>
      <c r="P43" s="81" t="s">
        <v>85</v>
      </c>
    </row>
    <row r="44" spans="1:16" ht="13" hidden="1" x14ac:dyDescent="0.15">
      <c r="A44" s="73" t="s">
        <v>76</v>
      </c>
      <c r="B44" s="74" t="s">
        <v>124</v>
      </c>
      <c r="C44" s="78">
        <v>54990</v>
      </c>
      <c r="D44" s="78">
        <v>71490</v>
      </c>
      <c r="E44" s="78">
        <v>86900</v>
      </c>
      <c r="F44" s="96" t="s">
        <v>125</v>
      </c>
      <c r="G44" s="76" t="s">
        <v>125</v>
      </c>
      <c r="H44" s="77">
        <f t="shared" si="0"/>
        <v>1</v>
      </c>
      <c r="I44" s="73" t="s">
        <v>76</v>
      </c>
      <c r="J44" s="74" t="s">
        <v>124</v>
      </c>
      <c r="K44" s="118">
        <f>IF(F44="USD",C44*VLOOKUP(L44,'Kursy walut'!C:E,2,0),IF(F44="EUR",C44*VLOOKUP(L44,'Kursy walut'!C:E,3,0),C44))</f>
        <v>54990</v>
      </c>
      <c r="L44" s="79" t="s">
        <v>125</v>
      </c>
      <c r="M44" s="134">
        <f>C44/VLOOKUP(F44,'Kursy walut'!C:E,2,0)</f>
        <v>3.5947488896628665</v>
      </c>
      <c r="N44" s="81" t="s">
        <v>86</v>
      </c>
      <c r="O44" s="118">
        <f>C44/VLOOKUP(F44,'Kursy walut'!C:E,3,0)</f>
        <v>3.6699219232286238</v>
      </c>
      <c r="P44" s="81" t="s">
        <v>85</v>
      </c>
    </row>
    <row r="45" spans="1:16" ht="13" hidden="1" x14ac:dyDescent="0.15">
      <c r="A45" s="73" t="s">
        <v>623</v>
      </c>
      <c r="B45" s="74" t="s">
        <v>624</v>
      </c>
      <c r="C45" s="78">
        <v>4500</v>
      </c>
      <c r="D45" s="78">
        <v>5900</v>
      </c>
      <c r="E45" s="78">
        <v>7200</v>
      </c>
      <c r="F45" s="96" t="s">
        <v>322</v>
      </c>
      <c r="G45" s="76" t="s">
        <v>322</v>
      </c>
      <c r="H45" s="77">
        <f t="shared" si="0"/>
        <v>1</v>
      </c>
      <c r="I45" s="73" t="s">
        <v>623</v>
      </c>
      <c r="J45" s="74" t="s">
        <v>624</v>
      </c>
      <c r="K45" s="118">
        <f>IF(F45="USD",C45*VLOOKUP(L45,'Kursy walut'!C:E,2,0),IF(F45="EUR",C45*VLOOKUP(L45,'Kursy walut'!C:E,3,0),C45))</f>
        <v>4500</v>
      </c>
      <c r="L45" s="79" t="s">
        <v>322</v>
      </c>
      <c r="M45" s="134">
        <f>C45/VLOOKUP(F45,'Kursy walut'!C:E,2,0)</f>
        <v>3.0789774127585434</v>
      </c>
      <c r="N45" s="81" t="s">
        <v>86</v>
      </c>
      <c r="O45" s="118">
        <f>C45/VLOOKUP(F45,'Kursy walut'!C:E,3,0)</f>
        <v>3.1516637317673628</v>
      </c>
      <c r="P45" s="81" t="s">
        <v>85</v>
      </c>
    </row>
    <row r="46" spans="1:16" ht="13" hidden="1" x14ac:dyDescent="0.15">
      <c r="A46" s="73" t="s">
        <v>30</v>
      </c>
      <c r="B46" s="74" t="s">
        <v>126</v>
      </c>
      <c r="C46" s="78">
        <v>9.99</v>
      </c>
      <c r="D46" s="78">
        <v>13.99</v>
      </c>
      <c r="E46" s="78">
        <v>17.989999999999998</v>
      </c>
      <c r="F46" s="96" t="s">
        <v>85</v>
      </c>
      <c r="G46" s="76" t="s">
        <v>85</v>
      </c>
      <c r="H46" s="77">
        <f t="shared" si="0"/>
        <v>1</v>
      </c>
      <c r="I46" s="73" t="s">
        <v>30</v>
      </c>
      <c r="J46" s="74" t="s">
        <v>126</v>
      </c>
      <c r="K46" s="118">
        <f>IF(F46="USD",C46*VLOOKUP(L46,'Kursy walut'!C:E,2,0),IF(F46="EUR",C46*VLOOKUP(L46,'Kursy walut'!C:E,3,0),C46))</f>
        <v>9.99</v>
      </c>
      <c r="L46" s="79" t="s">
        <v>85</v>
      </c>
      <c r="M46" s="134">
        <f>C46/VLOOKUP(F46,'Kursy walut'!C:E,2,0)</f>
        <v>9.7720825589357343</v>
      </c>
      <c r="N46" s="81" t="s">
        <v>86</v>
      </c>
      <c r="O46" s="118">
        <f>C46/VLOOKUP(F46,'Kursy walut'!C:E,3,0)</f>
        <v>9.99</v>
      </c>
      <c r="P46" s="81" t="s">
        <v>85</v>
      </c>
    </row>
    <row r="47" spans="1:16" ht="13" hidden="1" x14ac:dyDescent="0.15">
      <c r="A47" s="73" t="s">
        <v>38</v>
      </c>
      <c r="B47" s="74" t="s">
        <v>127</v>
      </c>
      <c r="C47" s="78">
        <v>19.899999999999999</v>
      </c>
      <c r="D47" s="78">
        <v>25.9</v>
      </c>
      <c r="E47" s="78">
        <v>31.9</v>
      </c>
      <c r="F47" s="96" t="s">
        <v>128</v>
      </c>
      <c r="G47" s="76" t="s">
        <v>128</v>
      </c>
      <c r="H47" s="77">
        <f t="shared" si="0"/>
        <v>1</v>
      </c>
      <c r="I47" s="73" t="s">
        <v>38</v>
      </c>
      <c r="J47" s="74" t="s">
        <v>127</v>
      </c>
      <c r="K47" s="118">
        <f>IF(F47="USD",C47*VLOOKUP(L47,'Kursy walut'!C:E,2,0),IF(F47="EUR",C47*VLOOKUP(L47,'Kursy walut'!C:E,3,0),C47))</f>
        <v>19.899999999999999</v>
      </c>
      <c r="L47" s="79" t="s">
        <v>128</v>
      </c>
      <c r="M47" s="134">
        <f>C47/VLOOKUP(F47,'Kursy walut'!C:E,2,0)</f>
        <v>5.6026352093245864</v>
      </c>
      <c r="N47" s="81" t="s">
        <v>86</v>
      </c>
      <c r="O47" s="118">
        <f>C47/VLOOKUP(F47,'Kursy walut'!C:E,3,0)</f>
        <v>5.7244771740068456</v>
      </c>
      <c r="P47" s="81" t="s">
        <v>85</v>
      </c>
    </row>
    <row r="48" spans="1:16" ht="13" hidden="1" x14ac:dyDescent="0.15">
      <c r="A48" s="73" t="s">
        <v>34</v>
      </c>
      <c r="B48" s="74" t="s">
        <v>129</v>
      </c>
      <c r="C48" s="78">
        <v>9.99</v>
      </c>
      <c r="D48" s="78">
        <v>12.99</v>
      </c>
      <c r="E48" s="78">
        <v>15.99</v>
      </c>
      <c r="F48" s="96" t="s">
        <v>85</v>
      </c>
      <c r="G48" s="76" t="s">
        <v>85</v>
      </c>
      <c r="H48" s="77">
        <f t="shared" si="0"/>
        <v>1</v>
      </c>
      <c r="I48" s="73" t="s">
        <v>34</v>
      </c>
      <c r="J48" s="74" t="s">
        <v>129</v>
      </c>
      <c r="K48" s="118">
        <f>IF(F48="USD",C48*VLOOKUP(L48,'Kursy walut'!C:E,2,0),IF(F48="EUR",C48*VLOOKUP(L48,'Kursy walut'!C:E,3,0),C48))</f>
        <v>9.99</v>
      </c>
      <c r="L48" s="79" t="s">
        <v>85</v>
      </c>
      <c r="M48" s="134">
        <f>C48/VLOOKUP(F48,'Kursy walut'!C:E,2,0)</f>
        <v>9.7720825589357343</v>
      </c>
      <c r="N48" s="81" t="s">
        <v>86</v>
      </c>
      <c r="O48" s="118">
        <f>C48/VLOOKUP(F48,'Kursy walut'!C:E,3,0)</f>
        <v>9.99</v>
      </c>
      <c r="P48" s="81" t="s">
        <v>85</v>
      </c>
    </row>
    <row r="49" spans="1:16" ht="13" x14ac:dyDescent="0.15">
      <c r="A49" s="73" t="s">
        <v>628</v>
      </c>
      <c r="B49" s="74" t="s">
        <v>629</v>
      </c>
      <c r="C49" s="78">
        <v>5.99</v>
      </c>
      <c r="D49" s="71" t="s">
        <v>823</v>
      </c>
      <c r="E49" s="71" t="s">
        <v>823</v>
      </c>
      <c r="F49" s="96" t="s">
        <v>86</v>
      </c>
      <c r="G49" s="76" t="s">
        <v>333</v>
      </c>
      <c r="H49" s="77">
        <f t="shared" si="0"/>
        <v>0</v>
      </c>
      <c r="I49" s="73" t="s">
        <v>628</v>
      </c>
      <c r="J49" s="74" t="s">
        <v>629</v>
      </c>
      <c r="K49" s="118">
        <f>IF(F49="USD",C49*VLOOKUP(L49,'Kursy walut'!C:E,2,0),IF(F49="EUR",C49*VLOOKUP(L49,'Kursy walut'!C:E,3,0),C49))</f>
        <v>915.81289700000002</v>
      </c>
      <c r="L49" s="85" t="s">
        <v>333</v>
      </c>
      <c r="M49" s="134">
        <f>C49/VLOOKUP(F49,'Kursy walut'!C:E,2,0)</f>
        <v>5.99</v>
      </c>
      <c r="N49" s="81" t="s">
        <v>86</v>
      </c>
      <c r="O49" s="118">
        <f>C49/VLOOKUP(F49,'Kursy walut'!C:E,3,0)</f>
        <v>6.1234921283991008</v>
      </c>
      <c r="P49" s="81" t="s">
        <v>85</v>
      </c>
    </row>
    <row r="50" spans="1:16" ht="13" hidden="1" x14ac:dyDescent="0.15">
      <c r="A50" s="73" t="s">
        <v>67</v>
      </c>
      <c r="B50" s="74" t="s">
        <v>130</v>
      </c>
      <c r="C50" s="78">
        <v>980</v>
      </c>
      <c r="D50" s="78">
        <v>1280</v>
      </c>
      <c r="E50" s="78">
        <v>1580</v>
      </c>
      <c r="F50" s="96" t="s">
        <v>131</v>
      </c>
      <c r="G50" s="76" t="s">
        <v>131</v>
      </c>
      <c r="H50" s="77">
        <f t="shared" si="0"/>
        <v>1</v>
      </c>
      <c r="I50" s="73" t="s">
        <v>67</v>
      </c>
      <c r="J50" s="74" t="s">
        <v>130</v>
      </c>
      <c r="K50" s="118">
        <f>IF(F50="USD",C50*VLOOKUP(L50,'Kursy walut'!C:E,2,0),IF(F50="EUR",C50*VLOOKUP(L50,'Kursy walut'!C:E,3,0),C50))</f>
        <v>980</v>
      </c>
      <c r="L50" s="79" t="s">
        <v>131</v>
      </c>
      <c r="M50" s="134">
        <f>C50/VLOOKUP(F50,'Kursy walut'!C:E,2,0)</f>
        <v>6.7346731209574777</v>
      </c>
      <c r="N50" s="81" t="s">
        <v>86</v>
      </c>
      <c r="O50" s="118">
        <f>C50/VLOOKUP(F50,'Kursy walut'!C:E,3,0)</f>
        <v>6.8844784515824466</v>
      </c>
      <c r="P50" s="81" t="s">
        <v>85</v>
      </c>
    </row>
    <row r="51" spans="1:16" ht="13" x14ac:dyDescent="0.15">
      <c r="A51" s="73" t="s">
        <v>630</v>
      </c>
      <c r="B51" s="74" t="s">
        <v>631</v>
      </c>
      <c r="C51" s="78">
        <v>4.99</v>
      </c>
      <c r="D51" s="78">
        <v>6.49</v>
      </c>
      <c r="E51" s="78">
        <v>7.99</v>
      </c>
      <c r="F51" s="96" t="s">
        <v>86</v>
      </c>
      <c r="G51" s="76" t="s">
        <v>336</v>
      </c>
      <c r="H51" s="77">
        <f t="shared" si="0"/>
        <v>0</v>
      </c>
      <c r="I51" s="73" t="s">
        <v>630</v>
      </c>
      <c r="J51" s="74" t="s">
        <v>631</v>
      </c>
      <c r="K51" s="118">
        <f>IF(F51="USD",C51*VLOOKUP(L51,'Kursy walut'!C:E,2,0),IF(F51="EUR",C51*VLOOKUP(L51,'Kursy walut'!C:E,3,0),C51))</f>
        <v>3.5379100000000001</v>
      </c>
      <c r="L51" s="85" t="s">
        <v>336</v>
      </c>
      <c r="M51" s="134">
        <f>C51/VLOOKUP(F51,'Kursy walut'!C:E,2,0)</f>
        <v>4.99</v>
      </c>
      <c r="N51" s="81" t="s">
        <v>86</v>
      </c>
      <c r="O51" s="118">
        <f>C51/VLOOKUP(F51,'Kursy walut'!C:E,3,0)</f>
        <v>5.1012062972807204</v>
      </c>
      <c r="P51" s="81" t="s">
        <v>85</v>
      </c>
    </row>
    <row r="52" spans="1:16" ht="13" x14ac:dyDescent="0.15">
      <c r="A52" s="73" t="s">
        <v>49</v>
      </c>
      <c r="B52" s="74" t="s">
        <v>132</v>
      </c>
      <c r="C52" s="78">
        <v>4.99</v>
      </c>
      <c r="D52" s="78">
        <v>6.49</v>
      </c>
      <c r="E52" s="78">
        <v>7.99</v>
      </c>
      <c r="F52" s="96" t="s">
        <v>86</v>
      </c>
      <c r="G52" s="76" t="s">
        <v>133</v>
      </c>
      <c r="H52" s="77">
        <f t="shared" si="0"/>
        <v>0</v>
      </c>
      <c r="I52" s="73" t="s">
        <v>49</v>
      </c>
      <c r="J52" s="74" t="s">
        <v>132</v>
      </c>
      <c r="K52" s="118">
        <f>IF(F52="USD",C52*VLOOKUP(L52,'Kursy walut'!C:E,2,0),IF(F52="EUR",C52*VLOOKUP(L52,'Kursy walut'!C:E,3,0),C52))</f>
        <v>2370.2659680000002</v>
      </c>
      <c r="L52" s="85" t="s">
        <v>133</v>
      </c>
      <c r="M52" s="134">
        <f>C52/VLOOKUP(F52,'Kursy walut'!C:E,2,0)</f>
        <v>4.99</v>
      </c>
      <c r="N52" s="81" t="s">
        <v>86</v>
      </c>
      <c r="O52" s="118">
        <f>C52/VLOOKUP(F52,'Kursy walut'!C:E,3,0)</f>
        <v>5.1012062972807204</v>
      </c>
      <c r="P52" s="81" t="s">
        <v>85</v>
      </c>
    </row>
    <row r="53" spans="1:16" ht="13" hidden="1" x14ac:dyDescent="0.15">
      <c r="A53" s="73" t="s">
        <v>635</v>
      </c>
      <c r="B53" s="74" t="s">
        <v>636</v>
      </c>
      <c r="C53" s="78">
        <v>299</v>
      </c>
      <c r="D53" s="78">
        <v>389</v>
      </c>
      <c r="E53" s="78" t="s">
        <v>824</v>
      </c>
      <c r="F53" s="96" t="s">
        <v>341</v>
      </c>
      <c r="G53" s="76" t="s">
        <v>341</v>
      </c>
      <c r="H53" s="77">
        <f t="shared" si="0"/>
        <v>1</v>
      </c>
      <c r="I53" s="73" t="s">
        <v>635</v>
      </c>
      <c r="J53" s="74" t="s">
        <v>636</v>
      </c>
      <c r="K53" s="118">
        <f>IF(F53="USD",C53*VLOOKUP(L53,'Kursy walut'!C:E,2,0),IF(F53="EUR",C53*VLOOKUP(L53,'Kursy walut'!C:E,3,0),C53))</f>
        <v>299</v>
      </c>
      <c r="L53" s="79" t="s">
        <v>341</v>
      </c>
      <c r="M53" s="134">
        <f>C53/VLOOKUP(F53,'Kursy walut'!C:E,2,0)</f>
        <v>2.4716013827741783</v>
      </c>
      <c r="N53" s="81" t="s">
        <v>86</v>
      </c>
      <c r="O53" s="118">
        <f>C53/VLOOKUP(F53,'Kursy walut'!C:E,3,0)</f>
        <v>2.5287229948875818</v>
      </c>
      <c r="P53" s="81" t="s">
        <v>85</v>
      </c>
    </row>
    <row r="54" spans="1:16" ht="13" x14ac:dyDescent="0.15">
      <c r="A54" s="73" t="s">
        <v>647</v>
      </c>
      <c r="B54" s="74" t="s">
        <v>648</v>
      </c>
      <c r="C54" s="78">
        <v>4.99</v>
      </c>
      <c r="D54" s="78">
        <v>6.49</v>
      </c>
      <c r="E54" s="78">
        <v>7.99</v>
      </c>
      <c r="F54" s="96" t="s">
        <v>86</v>
      </c>
      <c r="G54" s="76" t="s">
        <v>352</v>
      </c>
      <c r="H54" s="77">
        <f t="shared" si="0"/>
        <v>0</v>
      </c>
      <c r="I54" s="73" t="s">
        <v>647</v>
      </c>
      <c r="J54" s="74" t="s">
        <v>648</v>
      </c>
      <c r="K54" s="118">
        <f>IF(F54="USD",C54*VLOOKUP(L54,'Kursy walut'!C:E,2,0),IF(F54="EUR",C54*VLOOKUP(L54,'Kursy walut'!C:E,3,0),C54))</f>
        <v>1.5469000000000002</v>
      </c>
      <c r="L54" s="85" t="s">
        <v>352</v>
      </c>
      <c r="M54" s="134">
        <f>C54/VLOOKUP(F54,'Kursy walut'!C:E,2,0)</f>
        <v>4.99</v>
      </c>
      <c r="N54" s="81" t="s">
        <v>86</v>
      </c>
      <c r="O54" s="118">
        <f>C54/VLOOKUP(F54,'Kursy walut'!C:E,3,0)</f>
        <v>5.1012062972807204</v>
      </c>
      <c r="P54" s="81" t="s">
        <v>85</v>
      </c>
    </row>
    <row r="55" spans="1:16" ht="13" x14ac:dyDescent="0.15">
      <c r="A55" s="73" t="s">
        <v>640</v>
      </c>
      <c r="B55" s="74" t="s">
        <v>641</v>
      </c>
      <c r="C55" s="78">
        <v>4.99</v>
      </c>
      <c r="D55" s="71" t="s">
        <v>823</v>
      </c>
      <c r="E55" s="71" t="s">
        <v>823</v>
      </c>
      <c r="F55" s="96" t="s">
        <v>86</v>
      </c>
      <c r="G55" s="76" t="s">
        <v>344</v>
      </c>
      <c r="H55" s="77">
        <f t="shared" si="0"/>
        <v>0</v>
      </c>
      <c r="I55" s="73" t="s">
        <v>640</v>
      </c>
      <c r="J55" s="74" t="s">
        <v>641</v>
      </c>
      <c r="K55" s="118">
        <f>IF(F55="USD",C55*VLOOKUP(L55,'Kursy walut'!C:E,2,0),IF(F55="EUR",C55*VLOOKUP(L55,'Kursy walut'!C:E,3,0),C55))</f>
        <v>405.81324699999999</v>
      </c>
      <c r="L55" s="85" t="s">
        <v>344</v>
      </c>
      <c r="M55" s="134">
        <f>C55/VLOOKUP(F55,'Kursy walut'!C:E,2,0)</f>
        <v>4.99</v>
      </c>
      <c r="N55" s="81" t="s">
        <v>86</v>
      </c>
      <c r="O55" s="118">
        <f>C55/VLOOKUP(F55,'Kursy walut'!C:E,3,0)</f>
        <v>5.1012062972807204</v>
      </c>
      <c r="P55" s="81" t="s">
        <v>85</v>
      </c>
    </row>
    <row r="56" spans="1:16" ht="13" x14ac:dyDescent="0.15">
      <c r="A56" s="73" t="s">
        <v>650</v>
      </c>
      <c r="B56" s="74" t="s">
        <v>651</v>
      </c>
      <c r="C56" s="78">
        <v>2.99</v>
      </c>
      <c r="D56" s="71" t="s">
        <v>823</v>
      </c>
      <c r="E56" s="71" t="s">
        <v>823</v>
      </c>
      <c r="F56" s="96" t="s">
        <v>86</v>
      </c>
      <c r="G56" s="76" t="s">
        <v>357</v>
      </c>
      <c r="H56" s="77">
        <f t="shared" si="0"/>
        <v>0</v>
      </c>
      <c r="I56" s="73" t="s">
        <v>650</v>
      </c>
      <c r="J56" s="74" t="s">
        <v>651</v>
      </c>
      <c r="K56" s="118">
        <f>IF(F56="USD",C56*VLOOKUP(L56,'Kursy walut'!C:E,2,0),IF(F56="EUR",C56*VLOOKUP(L56,'Kursy walut'!C:E,3,0),C56))</f>
        <v>49830.89748</v>
      </c>
      <c r="L56" s="85" t="s">
        <v>357</v>
      </c>
      <c r="M56" s="134">
        <f>C56/VLOOKUP(F56,'Kursy walut'!C:E,2,0)</f>
        <v>2.99</v>
      </c>
      <c r="N56" s="81" t="s">
        <v>86</v>
      </c>
      <c r="O56" s="118">
        <f>C56/VLOOKUP(F56,'Kursy walut'!C:E,3,0)</f>
        <v>3.0566346350439586</v>
      </c>
      <c r="P56" s="81" t="s">
        <v>85</v>
      </c>
    </row>
    <row r="57" spans="1:16" ht="13" hidden="1" x14ac:dyDescent="0.15">
      <c r="A57" s="73" t="s">
        <v>44</v>
      </c>
      <c r="B57" s="74" t="s">
        <v>134</v>
      </c>
      <c r="C57" s="78">
        <v>6.99</v>
      </c>
      <c r="D57" s="78">
        <v>9.99</v>
      </c>
      <c r="E57" s="78">
        <v>11.99</v>
      </c>
      <c r="F57" s="96" t="s">
        <v>85</v>
      </c>
      <c r="G57" s="76" t="s">
        <v>85</v>
      </c>
      <c r="H57" s="77">
        <f t="shared" si="0"/>
        <v>1</v>
      </c>
      <c r="I57" s="73" t="s">
        <v>44</v>
      </c>
      <c r="J57" s="74" t="s">
        <v>134</v>
      </c>
      <c r="K57" s="118">
        <f>IF(F57="USD",C57*VLOOKUP(L57,'Kursy walut'!C:E,2,0),IF(F57="EUR",C57*VLOOKUP(L57,'Kursy walut'!C:E,3,0),C57))</f>
        <v>6.99</v>
      </c>
      <c r="L57" s="79" t="s">
        <v>85</v>
      </c>
      <c r="M57" s="134">
        <f>C57/VLOOKUP(F57,'Kursy walut'!C:E,2,0)</f>
        <v>6.8375232319280057</v>
      </c>
      <c r="N57" s="81" t="s">
        <v>86</v>
      </c>
      <c r="O57" s="118">
        <f>C57/VLOOKUP(F57,'Kursy walut'!C:E,3,0)</f>
        <v>6.99</v>
      </c>
      <c r="P57" s="81" t="s">
        <v>85</v>
      </c>
    </row>
    <row r="58" spans="1:16" ht="13" hidden="1" x14ac:dyDescent="0.15">
      <c r="A58" s="73" t="s">
        <v>43</v>
      </c>
      <c r="B58" s="74" t="s">
        <v>135</v>
      </c>
      <c r="C58" s="78">
        <v>6.99</v>
      </c>
      <c r="D58" s="78">
        <v>8.99</v>
      </c>
      <c r="E58" s="78">
        <v>10.99</v>
      </c>
      <c r="F58" s="96" t="s">
        <v>85</v>
      </c>
      <c r="G58" s="76" t="s">
        <v>85</v>
      </c>
      <c r="H58" s="77">
        <f t="shared" si="0"/>
        <v>1</v>
      </c>
      <c r="I58" s="73" t="s">
        <v>43</v>
      </c>
      <c r="J58" s="74" t="s">
        <v>135</v>
      </c>
      <c r="K58" s="118">
        <f>IF(F58="USD",C58*VLOOKUP(L58,'Kursy walut'!C:E,2,0),IF(F58="EUR",C58*VLOOKUP(L58,'Kursy walut'!C:E,3,0),C58))</f>
        <v>6.99</v>
      </c>
      <c r="L58" s="79" t="s">
        <v>85</v>
      </c>
      <c r="M58" s="134">
        <f>C58/VLOOKUP(F58,'Kursy walut'!C:E,2,0)</f>
        <v>6.8375232319280057</v>
      </c>
      <c r="N58" s="81" t="s">
        <v>86</v>
      </c>
      <c r="O58" s="118">
        <f>C58/VLOOKUP(F58,'Kursy walut'!C:E,3,0)</f>
        <v>6.99</v>
      </c>
      <c r="P58" s="81" t="s">
        <v>85</v>
      </c>
    </row>
    <row r="59" spans="1:16" ht="13" hidden="1" x14ac:dyDescent="0.15">
      <c r="A59" s="73" t="s">
        <v>653</v>
      </c>
      <c r="B59" s="74" t="s">
        <v>654</v>
      </c>
      <c r="C59" s="78">
        <v>9.99</v>
      </c>
      <c r="D59" s="78">
        <v>12.99</v>
      </c>
      <c r="E59" s="78">
        <v>15.99</v>
      </c>
      <c r="F59" s="96" t="s">
        <v>85</v>
      </c>
      <c r="G59" s="76" t="s">
        <v>85</v>
      </c>
      <c r="H59" s="77">
        <f t="shared" si="0"/>
        <v>1</v>
      </c>
      <c r="I59" s="73" t="s">
        <v>653</v>
      </c>
      <c r="J59" s="74" t="s">
        <v>654</v>
      </c>
      <c r="K59" s="118">
        <f>IF(F59="USD",C59*VLOOKUP(L59,'Kursy walut'!C:E,2,0),IF(F59="EUR",C59*VLOOKUP(L59,'Kursy walut'!C:E,3,0),C59))</f>
        <v>9.99</v>
      </c>
      <c r="L59" s="79" t="s">
        <v>85</v>
      </c>
      <c r="M59" s="134">
        <f>C59/VLOOKUP(F59,'Kursy walut'!C:E,2,0)</f>
        <v>9.7720825589357343</v>
      </c>
      <c r="N59" s="81" t="s">
        <v>86</v>
      </c>
      <c r="O59" s="118">
        <f>C59/VLOOKUP(F59,'Kursy walut'!C:E,3,0)</f>
        <v>9.99</v>
      </c>
      <c r="P59" s="81" t="s">
        <v>85</v>
      </c>
    </row>
    <row r="60" spans="1:16" ht="13" x14ac:dyDescent="0.15">
      <c r="A60" s="73" t="s">
        <v>655</v>
      </c>
      <c r="B60" s="74" t="s">
        <v>656</v>
      </c>
      <c r="C60" s="78">
        <v>2.99</v>
      </c>
      <c r="D60" s="71" t="s">
        <v>823</v>
      </c>
      <c r="E60" s="71" t="s">
        <v>823</v>
      </c>
      <c r="F60" s="96" t="s">
        <v>86</v>
      </c>
      <c r="G60" s="76" t="s">
        <v>381</v>
      </c>
      <c r="H60" s="77">
        <f t="shared" si="0"/>
        <v>0</v>
      </c>
      <c r="I60" s="73" t="s">
        <v>655</v>
      </c>
      <c r="J60" s="74" t="s">
        <v>656</v>
      </c>
      <c r="K60" s="118">
        <f>IF(F60="USD",C60*VLOOKUP(L60,'Kursy walut'!C:E,2,0),IF(F60="EUR",C60*VLOOKUP(L60,'Kursy walut'!C:E,3,0),C60))</f>
        <v>12630.230925000002</v>
      </c>
      <c r="L60" s="85" t="s">
        <v>381</v>
      </c>
      <c r="M60" s="134">
        <f>C60/VLOOKUP(F60,'Kursy walut'!C:E,2,0)</f>
        <v>2.99</v>
      </c>
      <c r="N60" s="81" t="s">
        <v>86</v>
      </c>
      <c r="O60" s="118">
        <f>C60/VLOOKUP(F60,'Kursy walut'!C:E,3,0)</f>
        <v>3.0566346350439586</v>
      </c>
      <c r="P60" s="81" t="s">
        <v>85</v>
      </c>
    </row>
    <row r="61" spans="1:16" ht="13" hidden="1" x14ac:dyDescent="0.15">
      <c r="A61" s="73" t="s">
        <v>73</v>
      </c>
      <c r="B61" s="74" t="s">
        <v>136</v>
      </c>
      <c r="C61" s="78">
        <v>15.9</v>
      </c>
      <c r="D61" s="78">
        <v>21.5</v>
      </c>
      <c r="E61" s="78">
        <v>24.9</v>
      </c>
      <c r="F61" s="96" t="s">
        <v>137</v>
      </c>
      <c r="G61" s="76" t="s">
        <v>137</v>
      </c>
      <c r="H61" s="77">
        <f t="shared" si="0"/>
        <v>1</v>
      </c>
      <c r="I61" s="73" t="s">
        <v>73</v>
      </c>
      <c r="J61" s="74" t="s">
        <v>136</v>
      </c>
      <c r="K61" s="118">
        <f>IF(F61="USD",C61*VLOOKUP(L61,'Kursy walut'!C:E,2,0),IF(F61="EUR",C61*VLOOKUP(L61,'Kursy walut'!C:E,3,0),C61))</f>
        <v>15.9</v>
      </c>
      <c r="L61" s="79" t="s">
        <v>137</v>
      </c>
      <c r="M61" s="134">
        <f>C61/VLOOKUP(F61,'Kursy walut'!C:E,2,0)</f>
        <v>3.4173705590302403</v>
      </c>
      <c r="N61" s="81" t="s">
        <v>86</v>
      </c>
      <c r="O61" s="118">
        <f>C61/VLOOKUP(F61,'Kursy walut'!C:E,3,0)</f>
        <v>3.4684350595523754</v>
      </c>
      <c r="P61" s="81" t="s">
        <v>85</v>
      </c>
    </row>
    <row r="62" spans="1:16" ht="13" hidden="1" x14ac:dyDescent="0.15">
      <c r="A62" s="73" t="s">
        <v>657</v>
      </c>
      <c r="B62" s="74" t="s">
        <v>385</v>
      </c>
      <c r="C62" s="78">
        <v>6.99</v>
      </c>
      <c r="D62" s="78">
        <v>8.99</v>
      </c>
      <c r="E62" s="78">
        <v>10.99</v>
      </c>
      <c r="F62" s="96" t="s">
        <v>85</v>
      </c>
      <c r="G62" s="76" t="s">
        <v>85</v>
      </c>
      <c r="H62" s="77">
        <f t="shared" si="0"/>
        <v>1</v>
      </c>
      <c r="I62" s="73" t="s">
        <v>657</v>
      </c>
      <c r="J62" s="74" t="s">
        <v>385</v>
      </c>
      <c r="K62" s="118">
        <f>IF(F62="USD",C62*VLOOKUP(L62,'Kursy walut'!C:E,2,0),IF(F62="EUR",C62*VLOOKUP(L62,'Kursy walut'!C:E,3,0),C62))</f>
        <v>6.99</v>
      </c>
      <c r="L62" s="79" t="s">
        <v>85</v>
      </c>
      <c r="M62" s="134">
        <f>C62/VLOOKUP(F62,'Kursy walut'!C:E,2,0)</f>
        <v>6.8375232319280057</v>
      </c>
      <c r="N62" s="81" t="s">
        <v>86</v>
      </c>
      <c r="O62" s="118">
        <f>C62/VLOOKUP(F62,'Kursy walut'!C:E,3,0)</f>
        <v>6.99</v>
      </c>
      <c r="P62" s="81" t="s">
        <v>85</v>
      </c>
    </row>
    <row r="63" spans="1:16" ht="13" x14ac:dyDescent="0.15">
      <c r="A63" s="73" t="s">
        <v>658</v>
      </c>
      <c r="B63" s="74" t="s">
        <v>387</v>
      </c>
      <c r="C63" s="78">
        <v>2.99</v>
      </c>
      <c r="D63" s="71" t="s">
        <v>823</v>
      </c>
      <c r="E63" s="71" t="s">
        <v>823</v>
      </c>
      <c r="F63" s="96" t="s">
        <v>86</v>
      </c>
      <c r="G63" s="76" t="s">
        <v>388</v>
      </c>
      <c r="H63" s="77">
        <f t="shared" si="0"/>
        <v>0</v>
      </c>
      <c r="I63" s="73" t="s">
        <v>658</v>
      </c>
      <c r="J63" s="74" t="s">
        <v>387</v>
      </c>
      <c r="K63" s="118">
        <f>IF(F63="USD",C63*VLOOKUP(L63,'Kursy walut'!C:E,2,0),IF(F63="EUR",C63*VLOOKUP(L63,'Kursy walut'!C:E,3,0),C63))</f>
        <v>134.85019600000001</v>
      </c>
      <c r="L63" s="85" t="s">
        <v>388</v>
      </c>
      <c r="M63" s="134">
        <f>C63/VLOOKUP(F63,'Kursy walut'!C:E,2,0)</f>
        <v>2.99</v>
      </c>
      <c r="N63" s="81" t="s">
        <v>86</v>
      </c>
      <c r="O63" s="118">
        <f>C63/VLOOKUP(F63,'Kursy walut'!C:E,3,0)</f>
        <v>3.0566346350439586</v>
      </c>
      <c r="P63" s="81" t="s">
        <v>85</v>
      </c>
    </row>
    <row r="64" spans="1:16" ht="13" hidden="1" x14ac:dyDescent="0.15">
      <c r="A64" s="73" t="s">
        <v>58</v>
      </c>
      <c r="B64" s="74" t="s">
        <v>138</v>
      </c>
      <c r="C64" s="78">
        <v>115</v>
      </c>
      <c r="D64" s="78">
        <v>149</v>
      </c>
      <c r="E64" s="78">
        <v>179</v>
      </c>
      <c r="F64" s="96" t="s">
        <v>139</v>
      </c>
      <c r="G64" s="76" t="s">
        <v>139</v>
      </c>
      <c r="H64" s="77">
        <f t="shared" si="0"/>
        <v>1</v>
      </c>
      <c r="I64" s="73" t="s">
        <v>58</v>
      </c>
      <c r="J64" s="74" t="s">
        <v>138</v>
      </c>
      <c r="K64" s="118">
        <f>IF(F64="USD",C64*VLOOKUP(L64,'Kursy walut'!C:E,2,0),IF(F64="EUR",C64*VLOOKUP(L64,'Kursy walut'!C:E,3,0),C64))</f>
        <v>115</v>
      </c>
      <c r="L64" s="79" t="s">
        <v>139</v>
      </c>
      <c r="M64" s="134">
        <f>C64/VLOOKUP(F64,'Kursy walut'!C:E,2,0)</f>
        <v>5.7353175869773372</v>
      </c>
      <c r="N64" s="81" t="s">
        <v>86</v>
      </c>
      <c r="O64" s="118">
        <f>C64/VLOOKUP(F64,'Kursy walut'!C:E,3,0)</f>
        <v>5.862979617223905</v>
      </c>
      <c r="P64" s="81" t="s">
        <v>85</v>
      </c>
    </row>
    <row r="65" spans="1:16" ht="13" x14ac:dyDescent="0.15">
      <c r="A65" s="73" t="s">
        <v>51</v>
      </c>
      <c r="B65" s="74" t="s">
        <v>140</v>
      </c>
      <c r="C65" s="78">
        <v>4.99</v>
      </c>
      <c r="D65" s="78">
        <v>6.49</v>
      </c>
      <c r="E65" s="78">
        <v>7.99</v>
      </c>
      <c r="F65" s="96" t="s">
        <v>86</v>
      </c>
      <c r="G65" s="76" t="s">
        <v>141</v>
      </c>
      <c r="H65" s="77">
        <f t="shared" si="0"/>
        <v>0</v>
      </c>
      <c r="I65" s="73" t="s">
        <v>51</v>
      </c>
      <c r="J65" s="74" t="s">
        <v>140</v>
      </c>
      <c r="K65" s="118">
        <f>IF(F65="USD",C65*VLOOKUP(L65,'Kursy walut'!C:E,2,0),IF(F65="EUR",C65*VLOOKUP(L65,'Kursy walut'!C:E,3,0),C65))</f>
        <v>97.157296000000017</v>
      </c>
      <c r="L65" s="85" t="s">
        <v>141</v>
      </c>
      <c r="M65" s="134">
        <f>C65/VLOOKUP(F65,'Kursy walut'!C:E,2,0)</f>
        <v>4.99</v>
      </c>
      <c r="N65" s="81" t="s">
        <v>86</v>
      </c>
      <c r="O65" s="118">
        <f>C65/VLOOKUP(F65,'Kursy walut'!C:E,3,0)</f>
        <v>5.1012062972807204</v>
      </c>
      <c r="P65" s="81" t="s">
        <v>85</v>
      </c>
    </row>
    <row r="66" spans="1:16" ht="13" hidden="1" x14ac:dyDescent="0.15">
      <c r="A66" s="73" t="s">
        <v>55</v>
      </c>
      <c r="B66" s="74" t="s">
        <v>142</v>
      </c>
      <c r="C66" s="78">
        <v>4.99</v>
      </c>
      <c r="D66" s="71" t="s">
        <v>823</v>
      </c>
      <c r="E66" s="71" t="s">
        <v>823</v>
      </c>
      <c r="F66" s="96" t="s">
        <v>85</v>
      </c>
      <c r="G66" s="76" t="s">
        <v>85</v>
      </c>
      <c r="H66" s="77">
        <f t="shared" si="0"/>
        <v>1</v>
      </c>
      <c r="I66" s="73" t="s">
        <v>55</v>
      </c>
      <c r="J66" s="74" t="s">
        <v>142</v>
      </c>
      <c r="K66" s="118">
        <f>IF(F66="USD",C66*VLOOKUP(L66,'Kursy walut'!C:E,2,0),IF(F66="EUR",C66*VLOOKUP(L66,'Kursy walut'!C:E,3,0),C66))</f>
        <v>4.99</v>
      </c>
      <c r="L66" s="79" t="s">
        <v>85</v>
      </c>
      <c r="M66" s="134">
        <f>C66/VLOOKUP(F66,'Kursy walut'!C:E,2,0)</f>
        <v>4.8811503472561872</v>
      </c>
      <c r="N66" s="81" t="s">
        <v>86</v>
      </c>
      <c r="O66" s="118">
        <f>C66/VLOOKUP(F66,'Kursy walut'!C:E,3,0)</f>
        <v>4.99</v>
      </c>
      <c r="P66" s="81" t="s">
        <v>85</v>
      </c>
    </row>
    <row r="67" spans="1:16" ht="13" x14ac:dyDescent="0.15">
      <c r="A67" s="73" t="s">
        <v>665</v>
      </c>
      <c r="B67" s="74" t="s">
        <v>666</v>
      </c>
      <c r="C67" s="78">
        <v>2.99</v>
      </c>
      <c r="D67" s="71" t="s">
        <v>823</v>
      </c>
      <c r="E67" s="71" t="s">
        <v>823</v>
      </c>
      <c r="F67" s="96" t="s">
        <v>86</v>
      </c>
      <c r="G67" s="76" t="s">
        <v>667</v>
      </c>
      <c r="H67" s="77">
        <f t="shared" si="0"/>
        <v>0</v>
      </c>
      <c r="I67" s="73" t="s">
        <v>665</v>
      </c>
      <c r="J67" s="74" t="s">
        <v>666</v>
      </c>
      <c r="K67" s="118" t="e">
        <f>IF(F67="USD",C67*VLOOKUP(L67,'Kursy walut'!C:E,2,0),IF(F67="EUR",C67*VLOOKUP(L67,'Kursy walut'!C:E,3,0),C67))</f>
        <v>#N/A</v>
      </c>
      <c r="L67" s="85" t="s">
        <v>667</v>
      </c>
      <c r="M67" s="134">
        <f>C67/VLOOKUP(F67,'Kursy walut'!C:E,2,0)</f>
        <v>2.99</v>
      </c>
      <c r="N67" s="81" t="s">
        <v>86</v>
      </c>
      <c r="O67" s="118">
        <f>C67/VLOOKUP(F67,'Kursy walut'!C:E,3,0)</f>
        <v>3.0566346350439586</v>
      </c>
      <c r="P67" s="81" t="s">
        <v>85</v>
      </c>
    </row>
    <row r="68" spans="1:16" ht="13" x14ac:dyDescent="0.15">
      <c r="A68" s="73" t="s">
        <v>668</v>
      </c>
      <c r="B68" s="74" t="s">
        <v>394</v>
      </c>
      <c r="C68" s="78">
        <v>2.99</v>
      </c>
      <c r="D68" s="71" t="s">
        <v>823</v>
      </c>
      <c r="E68" s="71" t="s">
        <v>823</v>
      </c>
      <c r="F68" s="96" t="s">
        <v>86</v>
      </c>
      <c r="G68" s="76" t="s">
        <v>395</v>
      </c>
      <c r="H68" s="77">
        <f t="shared" si="0"/>
        <v>0</v>
      </c>
      <c r="I68" s="73" t="s">
        <v>668</v>
      </c>
      <c r="J68" s="74" t="s">
        <v>394</v>
      </c>
      <c r="K68" s="118">
        <f>IF(F68="USD",C68*VLOOKUP(L68,'Kursy walut'!C:E,2,0),IF(F68="EUR",C68*VLOOKUP(L68,'Kursy walut'!C:E,3,0),C68))</f>
        <v>53.869933000000003</v>
      </c>
      <c r="L68" s="85" t="s">
        <v>395</v>
      </c>
      <c r="M68" s="134">
        <f>C68/VLOOKUP(F68,'Kursy walut'!C:E,2,0)</f>
        <v>2.99</v>
      </c>
      <c r="N68" s="81" t="s">
        <v>86</v>
      </c>
      <c r="O68" s="118">
        <f>C68/VLOOKUP(F68,'Kursy walut'!C:E,3,0)</f>
        <v>3.0566346350439586</v>
      </c>
      <c r="P68" s="81" t="s">
        <v>85</v>
      </c>
    </row>
    <row r="69" spans="1:16" ht="13" hidden="1" x14ac:dyDescent="0.15">
      <c r="A69" s="73" t="s">
        <v>39</v>
      </c>
      <c r="B69" s="74" t="s">
        <v>143</v>
      </c>
      <c r="C69" s="78">
        <v>9.99</v>
      </c>
      <c r="D69" s="78">
        <v>12.99</v>
      </c>
      <c r="E69" s="78">
        <v>14.99</v>
      </c>
      <c r="F69" s="96" t="s">
        <v>85</v>
      </c>
      <c r="G69" s="76" t="s">
        <v>85</v>
      </c>
      <c r="H69" s="77">
        <f t="shared" si="0"/>
        <v>1</v>
      </c>
      <c r="I69" s="73" t="s">
        <v>39</v>
      </c>
      <c r="J69" s="74" t="s">
        <v>143</v>
      </c>
      <c r="K69" s="118">
        <f>IF(F69="USD",C69*VLOOKUP(L69,'Kursy walut'!C:E,2,0),IF(F69="EUR",C69*VLOOKUP(L69,'Kursy walut'!C:E,3,0),C69))</f>
        <v>9.99</v>
      </c>
      <c r="L69" s="79" t="s">
        <v>85</v>
      </c>
      <c r="M69" s="134">
        <f>C69/VLOOKUP(F69,'Kursy walut'!C:E,2,0)</f>
        <v>9.7720825589357343</v>
      </c>
      <c r="N69" s="81" t="s">
        <v>86</v>
      </c>
      <c r="O69" s="118">
        <f>C69/VLOOKUP(F69,'Kursy walut'!C:E,3,0)</f>
        <v>9.99</v>
      </c>
      <c r="P69" s="81" t="s">
        <v>85</v>
      </c>
    </row>
    <row r="70" spans="1:16" ht="13" hidden="1" x14ac:dyDescent="0.15">
      <c r="A70" s="73" t="s">
        <v>48</v>
      </c>
      <c r="B70" s="74" t="s">
        <v>144</v>
      </c>
      <c r="C70" s="78">
        <v>14.99</v>
      </c>
      <c r="D70" s="78">
        <v>18.989999999999998</v>
      </c>
      <c r="E70" s="78">
        <v>22.5</v>
      </c>
      <c r="F70" s="96" t="s">
        <v>145</v>
      </c>
      <c r="G70" s="76" t="s">
        <v>145</v>
      </c>
      <c r="H70" s="77">
        <f t="shared" si="0"/>
        <v>1</v>
      </c>
      <c r="I70" s="73" t="s">
        <v>48</v>
      </c>
      <c r="J70" s="74" t="s">
        <v>144</v>
      </c>
      <c r="K70" s="118">
        <f>IF(F70="USD",C70*VLOOKUP(L70,'Kursy walut'!C:E,2,0),IF(F70="EUR",C70*VLOOKUP(L70,'Kursy walut'!C:E,3,0),C70))</f>
        <v>14.99</v>
      </c>
      <c r="L70" s="79" t="s">
        <v>145</v>
      </c>
      <c r="M70" s="134">
        <f>C70/VLOOKUP(F70,'Kursy walut'!C:E,2,0)</f>
        <v>8.4398400990935194</v>
      </c>
      <c r="N70" s="81" t="s">
        <v>86</v>
      </c>
      <c r="O70" s="118">
        <f>C70/VLOOKUP(F70,'Kursy walut'!C:E,3,0)</f>
        <v>8.5996213642361301</v>
      </c>
      <c r="P70" s="81" t="s">
        <v>85</v>
      </c>
    </row>
    <row r="71" spans="1:16" ht="13" x14ac:dyDescent="0.15">
      <c r="A71" s="73" t="s">
        <v>672</v>
      </c>
      <c r="B71" s="74" t="s">
        <v>673</v>
      </c>
      <c r="C71" s="78">
        <v>5.99</v>
      </c>
      <c r="D71" s="78">
        <v>7.99</v>
      </c>
      <c r="E71" s="78">
        <v>9.99</v>
      </c>
      <c r="F71" s="96" t="s">
        <v>86</v>
      </c>
      <c r="G71" s="76" t="s">
        <v>399</v>
      </c>
      <c r="H71" s="77">
        <f t="shared" si="0"/>
        <v>0</v>
      </c>
      <c r="I71" s="73" t="s">
        <v>672</v>
      </c>
      <c r="J71" s="74" t="s">
        <v>673</v>
      </c>
      <c r="K71" s="118">
        <f>IF(F71="USD",C71*VLOOKUP(L71,'Kursy walut'!C:E,2,0),IF(F71="EUR",C71*VLOOKUP(L71,'Kursy walut'!C:E,3,0),C71))</f>
        <v>215.710083</v>
      </c>
      <c r="L71" s="85" t="s">
        <v>399</v>
      </c>
      <c r="M71" s="134">
        <f>C71/VLOOKUP(F71,'Kursy walut'!C:E,2,0)</f>
        <v>5.99</v>
      </c>
      <c r="N71" s="81" t="s">
        <v>86</v>
      </c>
      <c r="O71" s="118">
        <f>C71/VLOOKUP(F71,'Kursy walut'!C:E,3,0)</f>
        <v>6.1234921283991008</v>
      </c>
      <c r="P71" s="81" t="s">
        <v>85</v>
      </c>
    </row>
    <row r="72" spans="1:16" ht="13" hidden="1" x14ac:dyDescent="0.15">
      <c r="A72" s="73" t="s">
        <v>66</v>
      </c>
      <c r="B72" s="74" t="s">
        <v>146</v>
      </c>
      <c r="C72" s="78">
        <v>900</v>
      </c>
      <c r="D72" s="78">
        <v>1200</v>
      </c>
      <c r="E72" s="78">
        <v>1400</v>
      </c>
      <c r="F72" s="96" t="s">
        <v>147</v>
      </c>
      <c r="G72" s="76" t="s">
        <v>147</v>
      </c>
      <c r="H72" s="77">
        <f t="shared" si="0"/>
        <v>1</v>
      </c>
      <c r="I72" s="73" t="s">
        <v>66</v>
      </c>
      <c r="J72" s="74" t="s">
        <v>146</v>
      </c>
      <c r="K72" s="118">
        <f>IF(F72="USD",C72*VLOOKUP(L72,'Kursy walut'!C:E,2,0),IF(F72="EUR",C72*VLOOKUP(L72,'Kursy walut'!C:E,3,0),C72))</f>
        <v>900</v>
      </c>
      <c r="L72" s="79" t="s">
        <v>147</v>
      </c>
      <c r="M72" s="134">
        <f>C72/VLOOKUP(F72,'Kursy walut'!C:E,2,0)</f>
        <v>2.0818938386814487</v>
      </c>
      <c r="N72" s="81" t="s">
        <v>86</v>
      </c>
      <c r="O72" s="118">
        <f>C72/VLOOKUP(F72,'Kursy walut'!C:E,3,0)</f>
        <v>2.1198117607156486</v>
      </c>
      <c r="P72" s="81" t="s">
        <v>85</v>
      </c>
    </row>
    <row r="73" spans="1:16" ht="13" x14ac:dyDescent="0.15">
      <c r="A73" s="73" t="s">
        <v>56</v>
      </c>
      <c r="B73" s="74" t="s">
        <v>148</v>
      </c>
      <c r="C73" s="78">
        <v>4.99</v>
      </c>
      <c r="D73" s="78">
        <v>6.49</v>
      </c>
      <c r="E73" s="78">
        <v>7.99</v>
      </c>
      <c r="F73" s="96" t="s">
        <v>85</v>
      </c>
      <c r="G73" s="76" t="s">
        <v>149</v>
      </c>
      <c r="H73" s="77">
        <f t="shared" si="0"/>
        <v>0</v>
      </c>
      <c r="I73" s="73" t="s">
        <v>56</v>
      </c>
      <c r="J73" s="74" t="s">
        <v>148</v>
      </c>
      <c r="K73" s="118">
        <f>IF(F73="USD",C73*VLOOKUP(L73,'Kursy walut'!C:E,2,0),IF(F73="EUR",C73*VLOOKUP(L73,'Kursy walut'!C:E,3,0),C73))</f>
        <v>307.39897000000002</v>
      </c>
      <c r="L73" s="85" t="s">
        <v>149</v>
      </c>
      <c r="M73" s="134">
        <f>C73/VLOOKUP(F73,'Kursy walut'!C:E,2,0)</f>
        <v>4.8811503472561872</v>
      </c>
      <c r="N73" s="81" t="s">
        <v>86</v>
      </c>
      <c r="O73" s="118">
        <f>C73/VLOOKUP(F73,'Kursy walut'!C:E,3,0)</f>
        <v>4.99</v>
      </c>
      <c r="P73" s="81" t="s">
        <v>85</v>
      </c>
    </row>
    <row r="74" spans="1:16" ht="13" hidden="1" x14ac:dyDescent="0.15">
      <c r="A74" s="73" t="s">
        <v>35</v>
      </c>
      <c r="B74" s="74" t="s">
        <v>150</v>
      </c>
      <c r="C74" s="78">
        <v>119</v>
      </c>
      <c r="D74" s="78">
        <v>149</v>
      </c>
      <c r="E74" s="78">
        <v>189</v>
      </c>
      <c r="F74" s="96" t="s">
        <v>151</v>
      </c>
      <c r="G74" s="76" t="s">
        <v>151</v>
      </c>
      <c r="H74" s="77">
        <f t="shared" si="0"/>
        <v>1</v>
      </c>
      <c r="I74" s="73" t="s">
        <v>35</v>
      </c>
      <c r="J74" s="74" t="s">
        <v>150</v>
      </c>
      <c r="K74" s="118">
        <f>IF(F74="USD",C74*VLOOKUP(L74,'Kursy walut'!C:E,2,0),IF(F74="EUR",C74*VLOOKUP(L74,'Kursy walut'!C:E,3,0),C74))</f>
        <v>119</v>
      </c>
      <c r="L74" s="79" t="s">
        <v>151</v>
      </c>
      <c r="M74" s="134">
        <f>C74/VLOOKUP(F74,'Kursy walut'!C:E,2,0)</f>
        <v>11.120456032146528</v>
      </c>
      <c r="N74" s="81" t="s">
        <v>86</v>
      </c>
      <c r="O74" s="118">
        <f>C74/VLOOKUP(F74,'Kursy walut'!C:E,3,0)</f>
        <v>11.362985314057637</v>
      </c>
      <c r="P74" s="81" t="s">
        <v>85</v>
      </c>
    </row>
    <row r="75" spans="1:16" ht="13" x14ac:dyDescent="0.15">
      <c r="A75" s="73" t="s">
        <v>680</v>
      </c>
      <c r="B75" s="74" t="s">
        <v>410</v>
      </c>
      <c r="C75" s="78">
        <v>4.99</v>
      </c>
      <c r="D75" s="78">
        <v>6.49</v>
      </c>
      <c r="E75" s="78">
        <v>7.99</v>
      </c>
      <c r="F75" s="96" t="s">
        <v>86</v>
      </c>
      <c r="G75" s="76" t="s">
        <v>411</v>
      </c>
      <c r="H75" s="77">
        <f t="shared" si="0"/>
        <v>0</v>
      </c>
      <c r="I75" s="73" t="s">
        <v>680</v>
      </c>
      <c r="J75" s="74" t="s">
        <v>410</v>
      </c>
      <c r="K75" s="118">
        <f>IF(F75="USD",C75*VLOOKUP(L75,'Kursy walut'!C:E,2,0),IF(F75="EUR",C75*VLOOKUP(L75,'Kursy walut'!C:E,3,0),C75))</f>
        <v>1.9211500000000001</v>
      </c>
      <c r="L75" s="85" t="s">
        <v>411</v>
      </c>
      <c r="M75" s="134">
        <f>C75/VLOOKUP(F75,'Kursy walut'!C:E,2,0)</f>
        <v>4.99</v>
      </c>
      <c r="N75" s="81" t="s">
        <v>86</v>
      </c>
      <c r="O75" s="118">
        <f>C75/VLOOKUP(F75,'Kursy walut'!C:E,3,0)</f>
        <v>5.1012062972807204</v>
      </c>
      <c r="P75" s="81" t="s">
        <v>85</v>
      </c>
    </row>
    <row r="76" spans="1:16" ht="13" hidden="1" x14ac:dyDescent="0.15">
      <c r="A76" s="73" t="s">
        <v>74</v>
      </c>
      <c r="B76" s="74" t="s">
        <v>152</v>
      </c>
      <c r="C76" s="78">
        <v>299</v>
      </c>
      <c r="D76" s="78">
        <v>390</v>
      </c>
      <c r="E76" s="78">
        <v>479</v>
      </c>
      <c r="F76" s="96" t="s">
        <v>153</v>
      </c>
      <c r="G76" s="76" t="s">
        <v>153</v>
      </c>
      <c r="H76" s="77">
        <f t="shared" si="0"/>
        <v>1</v>
      </c>
      <c r="I76" s="73" t="s">
        <v>74</v>
      </c>
      <c r="J76" s="74" t="s">
        <v>152</v>
      </c>
      <c r="K76" s="118">
        <f>IF(F76="USD",C76*VLOOKUP(L76,'Kursy walut'!C:E,2,0),IF(F76="EUR",C76*VLOOKUP(L76,'Kursy walut'!C:E,3,0),C76))</f>
        <v>299</v>
      </c>
      <c r="L76" s="79" t="s">
        <v>153</v>
      </c>
      <c r="M76" s="134">
        <f>C76/VLOOKUP(F76,'Kursy walut'!C:E,2,0)</f>
        <v>1.3420264329835088</v>
      </c>
      <c r="N76" s="81" t="s">
        <v>86</v>
      </c>
      <c r="O76" s="118">
        <f>C76/VLOOKUP(F76,'Kursy walut'!C:E,3,0)</f>
        <v>1.3723755039693324</v>
      </c>
      <c r="P76" s="81" t="s">
        <v>85</v>
      </c>
    </row>
    <row r="77" spans="1:16" ht="13" x14ac:dyDescent="0.15">
      <c r="A77" s="73" t="s">
        <v>684</v>
      </c>
      <c r="B77" s="74" t="s">
        <v>413</v>
      </c>
      <c r="C77" s="78">
        <v>5.99</v>
      </c>
      <c r="D77" s="78">
        <v>7.99</v>
      </c>
      <c r="E77" s="78">
        <v>10.99</v>
      </c>
      <c r="F77" s="96" t="s">
        <v>86</v>
      </c>
      <c r="G77" s="76" t="s">
        <v>414</v>
      </c>
      <c r="H77" s="77">
        <f t="shared" si="0"/>
        <v>0</v>
      </c>
      <c r="I77" s="73" t="s">
        <v>684</v>
      </c>
      <c r="J77" s="74" t="s">
        <v>413</v>
      </c>
      <c r="K77" s="118">
        <f>IF(F77="USD",C77*VLOOKUP(L77,'Kursy walut'!C:E,2,0),IF(F77="EUR",C77*VLOOKUP(L77,'Kursy walut'!C:E,3,0),C77))</f>
        <v>5.9971880000000004</v>
      </c>
      <c r="L77" s="85" t="s">
        <v>414</v>
      </c>
      <c r="M77" s="134">
        <f>C77/VLOOKUP(F77,'Kursy walut'!C:E,2,0)</f>
        <v>5.99</v>
      </c>
      <c r="N77" s="81" t="s">
        <v>86</v>
      </c>
      <c r="O77" s="118">
        <f>C77/VLOOKUP(F77,'Kursy walut'!C:E,3,0)</f>
        <v>6.1234921283991008</v>
      </c>
      <c r="P77" s="81" t="s">
        <v>85</v>
      </c>
    </row>
    <row r="78" spans="1:16" ht="13" x14ac:dyDescent="0.15">
      <c r="A78" s="73" t="s">
        <v>702</v>
      </c>
      <c r="B78" s="74" t="s">
        <v>703</v>
      </c>
      <c r="C78" s="78">
        <v>5.99</v>
      </c>
      <c r="D78" s="78">
        <v>7.99</v>
      </c>
      <c r="E78" s="78">
        <v>9.99</v>
      </c>
      <c r="F78" s="96" t="s">
        <v>86</v>
      </c>
      <c r="G78" s="76" t="s">
        <v>427</v>
      </c>
      <c r="H78" s="77">
        <f t="shared" si="0"/>
        <v>0</v>
      </c>
      <c r="I78" s="73" t="s">
        <v>702</v>
      </c>
      <c r="J78" s="74" t="s">
        <v>703</v>
      </c>
      <c r="K78" s="118">
        <f>IF(F78="USD",C78*VLOOKUP(L78,'Kursy walut'!C:E,2,0),IF(F78="EUR",C78*VLOOKUP(L78,'Kursy walut'!C:E,3,0),C78))</f>
        <v>42536.625869000003</v>
      </c>
      <c r="L78" s="85" t="s">
        <v>427</v>
      </c>
      <c r="M78" s="134">
        <f>C78/VLOOKUP(F78,'Kursy walut'!C:E,2,0)</f>
        <v>5.99</v>
      </c>
      <c r="N78" s="81" t="s">
        <v>86</v>
      </c>
      <c r="O78" s="118">
        <f>C78/VLOOKUP(F78,'Kursy walut'!C:E,3,0)</f>
        <v>6.1234921283991008</v>
      </c>
      <c r="P78" s="81" t="s">
        <v>85</v>
      </c>
    </row>
    <row r="79" spans="1:16" ht="13" hidden="1" x14ac:dyDescent="0.15">
      <c r="A79" s="73" t="s">
        <v>63</v>
      </c>
      <c r="B79" s="74" t="s">
        <v>154</v>
      </c>
      <c r="C79" s="78">
        <v>18.899999999999999</v>
      </c>
      <c r="D79" s="78">
        <v>24.9</v>
      </c>
      <c r="E79" s="78">
        <v>29.9</v>
      </c>
      <c r="F79" s="96" t="s">
        <v>155</v>
      </c>
      <c r="G79" s="76" t="s">
        <v>155</v>
      </c>
      <c r="H79" s="77">
        <f t="shared" si="0"/>
        <v>1</v>
      </c>
      <c r="I79" s="73" t="s">
        <v>63</v>
      </c>
      <c r="J79" s="74" t="s">
        <v>154</v>
      </c>
      <c r="K79" s="118">
        <f>IF(F79="USD",C79*VLOOKUP(L79,'Kursy walut'!C:E,2,0),IF(F79="EUR",C79*VLOOKUP(L79,'Kursy walut'!C:E,3,0),C79))</f>
        <v>18.899999999999999</v>
      </c>
      <c r="L79" s="79" t="s">
        <v>155</v>
      </c>
      <c r="M79" s="134">
        <f>C79/VLOOKUP(F79,'Kursy walut'!C:E,2,0)</f>
        <v>4.7555544372593914</v>
      </c>
      <c r="N79" s="81" t="s">
        <v>86</v>
      </c>
      <c r="O79" s="118">
        <f>C79/VLOOKUP(F79,'Kursy walut'!C:E,3,0)</f>
        <v>4.8648648648648649</v>
      </c>
      <c r="P79" s="81" t="s">
        <v>85</v>
      </c>
    </row>
    <row r="80" spans="1:16" ht="13" hidden="1" x14ac:dyDescent="0.15">
      <c r="A80" s="73" t="s">
        <v>81</v>
      </c>
      <c r="B80" s="74" t="s">
        <v>156</v>
      </c>
      <c r="C80" s="78">
        <v>149</v>
      </c>
      <c r="D80" s="78">
        <v>185</v>
      </c>
      <c r="E80" s="78">
        <v>214</v>
      </c>
      <c r="F80" s="96" t="s">
        <v>157</v>
      </c>
      <c r="G80" s="76" t="s">
        <v>157</v>
      </c>
      <c r="H80" s="77">
        <f t="shared" si="0"/>
        <v>1</v>
      </c>
      <c r="I80" s="73" t="s">
        <v>81</v>
      </c>
      <c r="J80" s="74" t="s">
        <v>156</v>
      </c>
      <c r="K80" s="118">
        <f>IF(F80="USD",C80*VLOOKUP(L80,'Kursy walut'!C:E,2,0),IF(F80="EUR",C80*VLOOKUP(L80,'Kursy walut'!C:E,3,0),C80))</f>
        <v>149</v>
      </c>
      <c r="L80" s="79" t="s">
        <v>157</v>
      </c>
      <c r="M80" s="134">
        <f>C80/VLOOKUP(F80,'Kursy walut'!C:E,2,0)</f>
        <v>2.5266999264035057</v>
      </c>
      <c r="N80" s="81" t="s">
        <v>86</v>
      </c>
      <c r="O80" s="118">
        <f>C80/VLOOKUP(F80,'Kursy walut'!C:E,3,0)</f>
        <v>2.585467934991966</v>
      </c>
      <c r="P80" s="81" t="s">
        <v>85</v>
      </c>
    </row>
    <row r="81" spans="1:16" ht="13" hidden="1" x14ac:dyDescent="0.15">
      <c r="A81" s="73" t="s">
        <v>70</v>
      </c>
      <c r="B81" s="74" t="s">
        <v>158</v>
      </c>
      <c r="C81" s="78">
        <v>19.989999999999998</v>
      </c>
      <c r="D81" s="78">
        <v>24.99</v>
      </c>
      <c r="E81" s="78">
        <v>29.99</v>
      </c>
      <c r="F81" s="96" t="s">
        <v>159</v>
      </c>
      <c r="G81" s="76" t="s">
        <v>159</v>
      </c>
      <c r="H81" s="77">
        <f t="shared" si="0"/>
        <v>1</v>
      </c>
      <c r="I81" s="73" t="s">
        <v>70</v>
      </c>
      <c r="J81" s="74" t="s">
        <v>158</v>
      </c>
      <c r="K81" s="118">
        <f>IF(F81="USD",C81*VLOOKUP(L81,'Kursy walut'!C:E,2,0),IF(F81="EUR",C81*VLOOKUP(L81,'Kursy walut'!C:E,3,0),C81))</f>
        <v>19.989999999999998</v>
      </c>
      <c r="L81" s="79" t="s">
        <v>159</v>
      </c>
      <c r="M81" s="134">
        <f>C81/VLOOKUP(F81,'Kursy walut'!C:E,2,0)</f>
        <v>4.0374866191351408</v>
      </c>
      <c r="N81" s="81" t="s">
        <v>86</v>
      </c>
      <c r="O81" s="118">
        <f>C81/VLOOKUP(F81,'Kursy walut'!C:E,3,0)</f>
        <v>4.1272659701862322</v>
      </c>
      <c r="P81" s="81" t="s">
        <v>85</v>
      </c>
    </row>
    <row r="82" spans="1:16" ht="13" hidden="1" x14ac:dyDescent="0.15">
      <c r="A82" s="73" t="s">
        <v>45</v>
      </c>
      <c r="B82" s="74" t="s">
        <v>160</v>
      </c>
      <c r="C82" s="78">
        <v>6.99</v>
      </c>
      <c r="D82" s="78">
        <v>8.99</v>
      </c>
      <c r="E82" s="78">
        <v>11.99</v>
      </c>
      <c r="F82" s="96" t="s">
        <v>85</v>
      </c>
      <c r="G82" s="76" t="s">
        <v>85</v>
      </c>
      <c r="H82" s="77">
        <f t="shared" si="0"/>
        <v>1</v>
      </c>
      <c r="I82" s="73" t="s">
        <v>45</v>
      </c>
      <c r="J82" s="74" t="s">
        <v>160</v>
      </c>
      <c r="K82" s="118">
        <f>IF(F82="USD",C82*VLOOKUP(L82,'Kursy walut'!C:E,2,0),IF(F82="EUR",C82*VLOOKUP(L82,'Kursy walut'!C:E,3,0),C82))</f>
        <v>6.99</v>
      </c>
      <c r="L82" s="79" t="s">
        <v>85</v>
      </c>
      <c r="M82" s="134">
        <f>C82/VLOOKUP(F82,'Kursy walut'!C:E,2,0)</f>
        <v>6.8375232319280057</v>
      </c>
      <c r="N82" s="81" t="s">
        <v>86</v>
      </c>
      <c r="O82" s="118">
        <f>C82/VLOOKUP(F82,'Kursy walut'!C:E,3,0)</f>
        <v>6.99</v>
      </c>
      <c r="P82" s="81" t="s">
        <v>85</v>
      </c>
    </row>
    <row r="83" spans="1:16" ht="13" x14ac:dyDescent="0.15">
      <c r="A83" s="73" t="s">
        <v>707</v>
      </c>
      <c r="B83" s="74" t="s">
        <v>708</v>
      </c>
      <c r="C83" s="78">
        <v>4.99</v>
      </c>
      <c r="D83" s="78">
        <v>6.49</v>
      </c>
      <c r="E83" s="78">
        <v>7.99</v>
      </c>
      <c r="F83" s="96" t="s">
        <v>86</v>
      </c>
      <c r="G83" s="76" t="s">
        <v>430</v>
      </c>
      <c r="H83" s="77">
        <f t="shared" si="0"/>
        <v>0</v>
      </c>
      <c r="I83" s="73" t="s">
        <v>707</v>
      </c>
      <c r="J83" s="74" t="s">
        <v>708</v>
      </c>
      <c r="K83" s="118">
        <f>IF(F83="USD",C83*VLOOKUP(L83,'Kursy walut'!C:E,2,0),IF(F83="EUR",C83*VLOOKUP(L83,'Kursy walut'!C:E,3,0),C83))</f>
        <v>18.168590000000002</v>
      </c>
      <c r="L83" s="85" t="s">
        <v>430</v>
      </c>
      <c r="M83" s="134">
        <f>C83/VLOOKUP(F83,'Kursy walut'!C:E,2,0)</f>
        <v>4.99</v>
      </c>
      <c r="N83" s="81" t="s">
        <v>86</v>
      </c>
      <c r="O83" s="118">
        <f>C83/VLOOKUP(F83,'Kursy walut'!C:E,3,0)</f>
        <v>5.1012062972807204</v>
      </c>
      <c r="P83" s="81" t="s">
        <v>85</v>
      </c>
    </row>
    <row r="84" spans="1:16" ht="13" x14ac:dyDescent="0.15">
      <c r="A84" s="73" t="s">
        <v>64</v>
      </c>
      <c r="B84" s="74" t="s">
        <v>161</v>
      </c>
      <c r="C84" s="78">
        <v>4.99</v>
      </c>
      <c r="D84" s="71" t="s">
        <v>823</v>
      </c>
      <c r="E84" s="71" t="s">
        <v>823</v>
      </c>
      <c r="F84" s="96" t="s">
        <v>85</v>
      </c>
      <c r="G84" s="76" t="s">
        <v>162</v>
      </c>
      <c r="H84" s="77">
        <f t="shared" si="0"/>
        <v>0</v>
      </c>
      <c r="I84" s="73" t="s">
        <v>64</v>
      </c>
      <c r="J84" s="74" t="s">
        <v>161</v>
      </c>
      <c r="K84" s="118">
        <f>IF(F84="USD",C84*VLOOKUP(L84,'Kursy walut'!C:E,2,0),IF(F84="EUR",C84*VLOOKUP(L84,'Kursy walut'!C:E,3,0),C84))</f>
        <v>24.691019000000001</v>
      </c>
      <c r="L84" s="85" t="s">
        <v>162</v>
      </c>
      <c r="M84" s="134">
        <f>C84/VLOOKUP(F84,'Kursy walut'!C:E,2,0)</f>
        <v>4.8811503472561872</v>
      </c>
      <c r="N84" s="81" t="s">
        <v>86</v>
      </c>
      <c r="O84" s="118">
        <f>C84/VLOOKUP(F84,'Kursy walut'!C:E,3,0)</f>
        <v>4.99</v>
      </c>
      <c r="P84" s="81" t="s">
        <v>85</v>
      </c>
    </row>
    <row r="85" spans="1:16" ht="13" x14ac:dyDescent="0.15">
      <c r="A85" s="73" t="s">
        <v>712</v>
      </c>
      <c r="B85" s="74" t="s">
        <v>438</v>
      </c>
      <c r="C85" s="78">
        <v>2.99</v>
      </c>
      <c r="D85" s="71" t="s">
        <v>823</v>
      </c>
      <c r="E85" s="71" t="s">
        <v>823</v>
      </c>
      <c r="F85" s="96" t="s">
        <v>86</v>
      </c>
      <c r="G85" s="76" t="s">
        <v>439</v>
      </c>
      <c r="H85" s="77">
        <f t="shared" si="0"/>
        <v>0</v>
      </c>
      <c r="I85" s="73" t="s">
        <v>712</v>
      </c>
      <c r="J85" s="74" t="s">
        <v>438</v>
      </c>
      <c r="K85" s="118">
        <f>IF(F85="USD",C85*VLOOKUP(L85,'Kursy walut'!C:E,2,0),IF(F85="EUR",C85*VLOOKUP(L85,'Kursy walut'!C:E,3,0),C85))</f>
        <v>3141.323003</v>
      </c>
      <c r="L85" s="85" t="s">
        <v>439</v>
      </c>
      <c r="M85" s="134">
        <f>C85/VLOOKUP(F85,'Kursy walut'!C:E,2,0)</f>
        <v>2.99</v>
      </c>
      <c r="N85" s="81" t="s">
        <v>86</v>
      </c>
      <c r="O85" s="118">
        <f>C85/VLOOKUP(F85,'Kursy walut'!C:E,3,0)</f>
        <v>3.0566346350439586</v>
      </c>
      <c r="P85" s="81" t="s">
        <v>85</v>
      </c>
    </row>
    <row r="86" spans="1:16" ht="13" hidden="1" x14ac:dyDescent="0.15">
      <c r="A86" s="73" t="s">
        <v>59</v>
      </c>
      <c r="B86" s="74" t="s">
        <v>163</v>
      </c>
      <c r="C86" s="78">
        <v>19.989999999999998</v>
      </c>
      <c r="D86" s="78">
        <v>25.99</v>
      </c>
      <c r="E86" s="71" t="s">
        <v>823</v>
      </c>
      <c r="F86" s="96" t="s">
        <v>164</v>
      </c>
      <c r="G86" s="76" t="s">
        <v>164</v>
      </c>
      <c r="H86" s="77">
        <f t="shared" si="0"/>
        <v>1</v>
      </c>
      <c r="I86" s="73" t="s">
        <v>59</v>
      </c>
      <c r="J86" s="74" t="s">
        <v>163</v>
      </c>
      <c r="K86" s="118">
        <f>IF(F86="USD",C86*VLOOKUP(L86,'Kursy walut'!C:E,2,0),IF(F86="EUR",C86*VLOOKUP(L86,'Kursy walut'!C:E,3,0),C86))</f>
        <v>19.989999999999998</v>
      </c>
      <c r="L86" s="79" t="s">
        <v>164</v>
      </c>
      <c r="M86" s="134">
        <f>C86/VLOOKUP(F86,'Kursy walut'!C:E,2,0)</f>
        <v>5.3187526607066831</v>
      </c>
      <c r="N86" s="81" t="s">
        <v>86</v>
      </c>
      <c r="O86" s="118">
        <f>C86/VLOOKUP(F86,'Kursy walut'!C:E,3,0)</f>
        <v>5.4360536263019066</v>
      </c>
      <c r="P86" s="81" t="s">
        <v>85</v>
      </c>
    </row>
    <row r="87" spans="1:16" ht="13" x14ac:dyDescent="0.15">
      <c r="A87" s="73" t="s">
        <v>50</v>
      </c>
      <c r="B87" s="74" t="s">
        <v>165</v>
      </c>
      <c r="C87" s="78">
        <v>4.99</v>
      </c>
      <c r="D87" s="78">
        <v>6.49</v>
      </c>
      <c r="E87" s="78">
        <v>7.99</v>
      </c>
      <c r="F87" s="96" t="s">
        <v>85</v>
      </c>
      <c r="G87" s="76" t="s">
        <v>166</v>
      </c>
      <c r="H87" s="77">
        <f t="shared" si="0"/>
        <v>0</v>
      </c>
      <c r="I87" s="73" t="s">
        <v>50</v>
      </c>
      <c r="J87" s="74" t="s">
        <v>165</v>
      </c>
      <c r="K87" s="118">
        <f>IF(F87="USD",C87*VLOOKUP(L87,'Kursy walut'!C:E,2,0),IF(F87="EUR",C87*VLOOKUP(L87,'Kursy walut'!C:E,3,0),C87))</f>
        <v>585.30953499999998</v>
      </c>
      <c r="L87" s="85" t="s">
        <v>166</v>
      </c>
      <c r="M87" s="134">
        <f>C87/VLOOKUP(F87,'Kursy walut'!C:E,2,0)</f>
        <v>4.8811503472561872</v>
      </c>
      <c r="N87" s="81" t="s">
        <v>86</v>
      </c>
      <c r="O87" s="118">
        <f>C87/VLOOKUP(F87,'Kursy walut'!C:E,3,0)</f>
        <v>4.99</v>
      </c>
      <c r="P87" s="81" t="s">
        <v>85</v>
      </c>
    </row>
    <row r="88" spans="1:16" ht="13" hidden="1" x14ac:dyDescent="0.15">
      <c r="A88" s="73" t="s">
        <v>61</v>
      </c>
      <c r="B88" s="74" t="s">
        <v>167</v>
      </c>
      <c r="C88" s="78">
        <v>9.9</v>
      </c>
      <c r="D88" s="78">
        <v>12.98</v>
      </c>
      <c r="E88" s="78">
        <v>16.98</v>
      </c>
      <c r="F88" s="96" t="s">
        <v>168</v>
      </c>
      <c r="G88" s="76" t="s">
        <v>168</v>
      </c>
      <c r="H88" s="77">
        <f t="shared" si="0"/>
        <v>1</v>
      </c>
      <c r="I88" s="73" t="s">
        <v>61</v>
      </c>
      <c r="J88" s="74" t="s">
        <v>167</v>
      </c>
      <c r="K88" s="118">
        <f>IF(F88="USD",C88*VLOOKUP(L88,'Kursy walut'!C:E,2,0),IF(F88="EUR",C88*VLOOKUP(L88,'Kursy walut'!C:E,3,0),C88))</f>
        <v>9.9</v>
      </c>
      <c r="L88" s="79" t="s">
        <v>168</v>
      </c>
      <c r="M88" s="134">
        <f>C88/VLOOKUP(F88,'Kursy walut'!C:E,2,0)</f>
        <v>6.9143735158541704</v>
      </c>
      <c r="N88" s="81" t="s">
        <v>86</v>
      </c>
      <c r="O88" s="118">
        <f>C88/VLOOKUP(F88,'Kursy walut'!C:E,3,0)</f>
        <v>7.0658768110770112</v>
      </c>
      <c r="P88" s="81" t="s">
        <v>85</v>
      </c>
    </row>
    <row r="89" spans="1:16" ht="13" hidden="1" x14ac:dyDescent="0.15">
      <c r="A89" s="73" t="s">
        <v>47</v>
      </c>
      <c r="B89" s="74" t="s">
        <v>169</v>
      </c>
      <c r="C89" s="78">
        <v>5.99</v>
      </c>
      <c r="D89" s="78">
        <v>7.99</v>
      </c>
      <c r="E89" s="78">
        <v>10.99</v>
      </c>
      <c r="F89" s="96" t="s">
        <v>85</v>
      </c>
      <c r="G89" s="76" t="s">
        <v>85</v>
      </c>
      <c r="H89" s="77">
        <f t="shared" si="0"/>
        <v>1</v>
      </c>
      <c r="I89" s="73" t="s">
        <v>47</v>
      </c>
      <c r="J89" s="74" t="s">
        <v>169</v>
      </c>
      <c r="K89" s="118">
        <f>IF(F89="USD",C89*VLOOKUP(L89,'Kursy walut'!C:E,2,0),IF(F89="EUR",C89*VLOOKUP(L89,'Kursy walut'!C:E,3,0),C89))</f>
        <v>5.99</v>
      </c>
      <c r="L89" s="79" t="s">
        <v>85</v>
      </c>
      <c r="M89" s="134">
        <f>C89/VLOOKUP(F89,'Kursy walut'!C:E,2,0)</f>
        <v>5.8593367895920965</v>
      </c>
      <c r="N89" s="81" t="s">
        <v>86</v>
      </c>
      <c r="O89" s="118">
        <f>C89/VLOOKUP(F89,'Kursy walut'!C:E,3,0)</f>
        <v>5.99</v>
      </c>
      <c r="P89" s="81" t="s">
        <v>85</v>
      </c>
    </row>
    <row r="90" spans="1:16" ht="13" hidden="1" x14ac:dyDescent="0.15">
      <c r="A90" s="73" t="s">
        <v>721</v>
      </c>
      <c r="B90" s="74" t="s">
        <v>722</v>
      </c>
      <c r="C90" s="78">
        <v>5.99</v>
      </c>
      <c r="D90" s="78">
        <v>7.99</v>
      </c>
      <c r="E90" s="78">
        <v>9.99</v>
      </c>
      <c r="F90" s="96" t="s">
        <v>85</v>
      </c>
      <c r="G90" s="76" t="s">
        <v>85</v>
      </c>
      <c r="H90" s="77">
        <f t="shared" si="0"/>
        <v>1</v>
      </c>
      <c r="I90" s="73" t="s">
        <v>721</v>
      </c>
      <c r="J90" s="74" t="s">
        <v>722</v>
      </c>
      <c r="K90" s="118">
        <f>IF(F90="USD",C90*VLOOKUP(L90,'Kursy walut'!C:E,2,0),IF(F90="EUR",C90*VLOOKUP(L90,'Kursy walut'!C:E,3,0),C90))</f>
        <v>5.99</v>
      </c>
      <c r="L90" s="79" t="s">
        <v>85</v>
      </c>
      <c r="M90" s="134">
        <f>C90/VLOOKUP(F90,'Kursy walut'!C:E,2,0)</f>
        <v>5.8593367895920965</v>
      </c>
      <c r="N90" s="81" t="s">
        <v>86</v>
      </c>
      <c r="O90" s="118">
        <f>C90/VLOOKUP(F90,'Kursy walut'!C:E,3,0)</f>
        <v>5.99</v>
      </c>
      <c r="P90" s="81" t="s">
        <v>85</v>
      </c>
    </row>
    <row r="91" spans="1:16" ht="13" hidden="1" x14ac:dyDescent="0.15">
      <c r="A91" s="73" t="s">
        <v>75</v>
      </c>
      <c r="B91" s="74" t="s">
        <v>170</v>
      </c>
      <c r="C91" s="78">
        <v>59.99</v>
      </c>
      <c r="D91" s="78">
        <v>79.989999999999995</v>
      </c>
      <c r="E91" s="78">
        <v>99.99</v>
      </c>
      <c r="F91" s="96" t="s">
        <v>171</v>
      </c>
      <c r="G91" s="76" t="s">
        <v>171</v>
      </c>
      <c r="H91" s="77">
        <f t="shared" si="0"/>
        <v>1</v>
      </c>
      <c r="I91" s="73" t="s">
        <v>75</v>
      </c>
      <c r="J91" s="74" t="s">
        <v>170</v>
      </c>
      <c r="K91" s="118">
        <f>IF(F91="USD",C91*VLOOKUP(L91,'Kursy walut'!C:E,2,0),IF(F91="EUR",C91*VLOOKUP(L91,'Kursy walut'!C:E,3,0),C91))</f>
        <v>59.99</v>
      </c>
      <c r="L91" s="79" t="s">
        <v>171</v>
      </c>
      <c r="M91" s="134">
        <f>C91/VLOOKUP(F91,'Kursy walut'!C:E,2,0)</f>
        <v>3.3240060950270123</v>
      </c>
      <c r="N91" s="81" t="s">
        <v>86</v>
      </c>
      <c r="O91" s="118">
        <f>C91/VLOOKUP(F91,'Kursy walut'!C:E,3,0)</f>
        <v>3.3939057920999334</v>
      </c>
      <c r="P91" s="81" t="s">
        <v>85</v>
      </c>
    </row>
    <row r="92" spans="1:16" ht="13" hidden="1" x14ac:dyDescent="0.15">
      <c r="A92" s="73" t="s">
        <v>60</v>
      </c>
      <c r="B92" s="74" t="s">
        <v>172</v>
      </c>
      <c r="C92" s="78">
        <v>10900</v>
      </c>
      <c r="D92" s="78">
        <v>16350</v>
      </c>
      <c r="E92" s="71" t="s">
        <v>823</v>
      </c>
      <c r="F92" s="96" t="s">
        <v>173</v>
      </c>
      <c r="G92" s="76" t="s">
        <v>173</v>
      </c>
      <c r="H92" s="77">
        <f t="shared" si="0"/>
        <v>1</v>
      </c>
      <c r="I92" s="73" t="s">
        <v>60</v>
      </c>
      <c r="J92" s="74" t="s">
        <v>172</v>
      </c>
      <c r="K92" s="118">
        <f>IF(F92="USD",C92*VLOOKUP(L92,'Kursy walut'!C:E,2,0),IF(F92="EUR",C92*VLOOKUP(L92,'Kursy walut'!C:E,3,0),C92))</f>
        <v>10900</v>
      </c>
      <c r="L92" s="79" t="s">
        <v>173</v>
      </c>
      <c r="M92" s="134">
        <f>C92/VLOOKUP(F92,'Kursy walut'!C:E,2,0)</f>
        <v>7.6323514511585877</v>
      </c>
      <c r="N92" s="81" t="s">
        <v>86</v>
      </c>
      <c r="O92" s="118">
        <f>C92/VLOOKUP(F92,'Kursy walut'!C:E,3,0)</f>
        <v>7.8071152615996011</v>
      </c>
      <c r="P92" s="81" t="s">
        <v>85</v>
      </c>
    </row>
    <row r="93" spans="1:16" ht="13" hidden="1" x14ac:dyDescent="0.15">
      <c r="A93" s="73" t="s">
        <v>33</v>
      </c>
      <c r="B93" s="74" t="s">
        <v>174</v>
      </c>
      <c r="C93" s="78">
        <v>9.99</v>
      </c>
      <c r="D93" s="78">
        <v>12.99</v>
      </c>
      <c r="E93" s="78">
        <v>15.99</v>
      </c>
      <c r="F93" s="96" t="s">
        <v>85</v>
      </c>
      <c r="G93" s="76" t="s">
        <v>85</v>
      </c>
      <c r="H93" s="77">
        <f t="shared" si="0"/>
        <v>1</v>
      </c>
      <c r="I93" s="73" t="s">
        <v>33</v>
      </c>
      <c r="J93" s="74" t="s">
        <v>174</v>
      </c>
      <c r="K93" s="118">
        <f>IF(F93="USD",C93*VLOOKUP(L93,'Kursy walut'!C:E,2,0),IF(F93="EUR",C93*VLOOKUP(L93,'Kursy walut'!C:E,3,0),C93))</f>
        <v>9.99</v>
      </c>
      <c r="L93" s="79" t="s">
        <v>85</v>
      </c>
      <c r="M93" s="134">
        <f>C93/VLOOKUP(F93,'Kursy walut'!C:E,2,0)</f>
        <v>9.7720825589357343</v>
      </c>
      <c r="N93" s="81" t="s">
        <v>86</v>
      </c>
      <c r="O93" s="118">
        <f>C93/VLOOKUP(F93,'Kursy walut'!C:E,3,0)</f>
        <v>9.99</v>
      </c>
      <c r="P93" s="81" t="s">
        <v>85</v>
      </c>
    </row>
    <row r="94" spans="1:16" ht="13" hidden="1" x14ac:dyDescent="0.15">
      <c r="A94" s="73" t="s">
        <v>652</v>
      </c>
      <c r="B94" s="74" t="s">
        <v>364</v>
      </c>
      <c r="C94" s="78">
        <v>529</v>
      </c>
      <c r="D94" s="78">
        <v>679</v>
      </c>
      <c r="E94" s="78">
        <v>849</v>
      </c>
      <c r="F94" s="96" t="s">
        <v>365</v>
      </c>
      <c r="G94" s="76" t="s">
        <v>365</v>
      </c>
      <c r="H94" s="77">
        <f t="shared" si="0"/>
        <v>1</v>
      </c>
      <c r="I94" s="73" t="s">
        <v>652</v>
      </c>
      <c r="J94" s="74" t="s">
        <v>364</v>
      </c>
      <c r="K94" s="118">
        <f>IF(F94="USD",C94*VLOOKUP(L94,'Kursy walut'!C:E,2,0),IF(F94="EUR",C94*VLOOKUP(L94,'Kursy walut'!C:E,3,0),C94))</f>
        <v>529</v>
      </c>
      <c r="L94" s="79" t="s">
        <v>365</v>
      </c>
      <c r="M94" s="134">
        <f>C94/VLOOKUP(F94,'Kursy walut'!C:E,2,0)</f>
        <v>1.4496192899660585</v>
      </c>
      <c r="N94" s="81" t="s">
        <v>86</v>
      </c>
      <c r="O94" s="118">
        <f>C94/VLOOKUP(F94,'Kursy walut'!C:E,3,0)</f>
        <v>1.4835584425272543</v>
      </c>
      <c r="P94" s="81" t="s">
        <v>85</v>
      </c>
    </row>
    <row r="95" spans="1:16" ht="13" hidden="1" x14ac:dyDescent="0.15">
      <c r="A95" s="73" t="s">
        <v>36</v>
      </c>
      <c r="B95" s="74" t="s">
        <v>175</v>
      </c>
      <c r="C95" s="78">
        <v>109</v>
      </c>
      <c r="D95" s="78">
        <v>149</v>
      </c>
      <c r="E95" s="78">
        <v>189</v>
      </c>
      <c r="F95" s="96" t="s">
        <v>176</v>
      </c>
      <c r="G95" s="76" t="s">
        <v>176</v>
      </c>
      <c r="H95" s="77">
        <f t="shared" si="0"/>
        <v>1</v>
      </c>
      <c r="I95" s="73" t="s">
        <v>36</v>
      </c>
      <c r="J95" s="74" t="s">
        <v>175</v>
      </c>
      <c r="K95" s="118">
        <f>IF(F95="USD",C95*VLOOKUP(L95,'Kursy walut'!C:E,2,0),IF(F95="EUR",C95*VLOOKUP(L95,'Kursy walut'!C:E,3,0),C95))</f>
        <v>109</v>
      </c>
      <c r="L95" s="79" t="s">
        <v>176</v>
      </c>
      <c r="M95" s="134">
        <f>C95/VLOOKUP(F95,'Kursy walut'!C:E,2,0)</f>
        <v>9.7632632587802188</v>
      </c>
      <c r="N95" s="81" t="s">
        <v>86</v>
      </c>
      <c r="O95" s="118">
        <f>C95/VLOOKUP(F95,'Kursy walut'!C:E,3,0)</f>
        <v>9.9819592113336437</v>
      </c>
      <c r="P95" s="81" t="s">
        <v>85</v>
      </c>
    </row>
    <row r="96" spans="1:16" ht="13" hidden="1" x14ac:dyDescent="0.15">
      <c r="A96" s="73" t="s">
        <v>25</v>
      </c>
      <c r="B96" s="74" t="s">
        <v>177</v>
      </c>
      <c r="C96" s="78">
        <v>12.95</v>
      </c>
      <c r="D96" s="78">
        <v>16.95</v>
      </c>
      <c r="E96" s="78">
        <v>20.95</v>
      </c>
      <c r="F96" s="96" t="s">
        <v>178</v>
      </c>
      <c r="G96" s="76" t="s">
        <v>178</v>
      </c>
      <c r="H96" s="77">
        <f t="shared" si="0"/>
        <v>1</v>
      </c>
      <c r="I96" s="73" t="s">
        <v>25</v>
      </c>
      <c r="J96" s="74" t="s">
        <v>177</v>
      </c>
      <c r="K96" s="118">
        <f>IF(F96="USD",C96*VLOOKUP(L96,'Kursy walut'!C:E,2,0),IF(F96="EUR",C96*VLOOKUP(L96,'Kursy walut'!C:E,3,0),C96))</f>
        <v>12.95</v>
      </c>
      <c r="L96" s="79" t="s">
        <v>178</v>
      </c>
      <c r="M96" s="134">
        <f>C96/VLOOKUP(F96,'Kursy walut'!C:E,2,0)</f>
        <v>13.043916196615632</v>
      </c>
      <c r="N96" s="81" t="s">
        <v>86</v>
      </c>
      <c r="O96" s="118">
        <f>C96/VLOOKUP(F96,'Kursy walut'!C:E,3,0)</f>
        <v>13.338139870223504</v>
      </c>
      <c r="P96" s="81" t="s">
        <v>85</v>
      </c>
    </row>
    <row r="97" spans="1:16" ht="13" hidden="1" x14ac:dyDescent="0.15">
      <c r="A97" s="73" t="s">
        <v>735</v>
      </c>
      <c r="B97" s="74" t="s">
        <v>736</v>
      </c>
      <c r="C97" s="78">
        <v>149</v>
      </c>
      <c r="D97" s="78">
        <v>198</v>
      </c>
      <c r="E97" s="78">
        <v>268</v>
      </c>
      <c r="F97" s="96" t="s">
        <v>470</v>
      </c>
      <c r="G97" s="76" t="s">
        <v>470</v>
      </c>
      <c r="H97" s="77">
        <f t="shared" si="0"/>
        <v>1</v>
      </c>
      <c r="I97" s="73" t="s">
        <v>735</v>
      </c>
      <c r="J97" s="74" t="s">
        <v>736</v>
      </c>
      <c r="K97" s="118">
        <f>IF(F97="USD",C97*VLOOKUP(L97,'Kursy walut'!C:E,2,0),IF(F97="EUR",C97*VLOOKUP(L97,'Kursy walut'!C:E,3,0),C97))</f>
        <v>149</v>
      </c>
      <c r="L97" s="79" t="s">
        <v>470</v>
      </c>
      <c r="M97" s="134">
        <f>C97/VLOOKUP(F97,'Kursy walut'!C:E,2,0)</f>
        <v>4.6917312173310659</v>
      </c>
      <c r="N97" s="81" t="s">
        <v>86</v>
      </c>
      <c r="O97" s="118">
        <f>C97/VLOOKUP(F97,'Kursy walut'!C:E,3,0)</f>
        <v>4.7957925771430592</v>
      </c>
      <c r="P97" s="81" t="s">
        <v>85</v>
      </c>
    </row>
    <row r="98" spans="1:16" ht="13" x14ac:dyDescent="0.15">
      <c r="A98" s="73" t="s">
        <v>728</v>
      </c>
      <c r="B98" s="74" t="s">
        <v>729</v>
      </c>
      <c r="C98" s="78">
        <v>4.99</v>
      </c>
      <c r="D98" s="71" t="s">
        <v>823</v>
      </c>
      <c r="E98" s="71" t="s">
        <v>823</v>
      </c>
      <c r="F98" s="96" t="s">
        <v>86</v>
      </c>
      <c r="G98" s="76" t="s">
        <v>459</v>
      </c>
      <c r="H98" s="77">
        <f t="shared" si="0"/>
        <v>0</v>
      </c>
      <c r="I98" s="73" t="s">
        <v>728</v>
      </c>
      <c r="J98" s="74" t="s">
        <v>729</v>
      </c>
      <c r="K98" s="118">
        <f>IF(F98="USD",C98*VLOOKUP(L98,'Kursy walut'!C:E,2,0),IF(F98="EUR",C98*VLOOKUP(L98,'Kursy walut'!C:E,3,0),C98))</f>
        <v>50.043213000000009</v>
      </c>
      <c r="L98" s="85" t="s">
        <v>459</v>
      </c>
      <c r="M98" s="134">
        <f>C98/VLOOKUP(F98,'Kursy walut'!C:E,2,0)</f>
        <v>4.99</v>
      </c>
      <c r="N98" s="81" t="s">
        <v>86</v>
      </c>
      <c r="O98" s="118">
        <f>C98/VLOOKUP(F98,'Kursy walut'!C:E,3,0)</f>
        <v>5.1012062972807204</v>
      </c>
      <c r="P98" s="81" t="s">
        <v>85</v>
      </c>
    </row>
    <row r="99" spans="1:16" ht="13" hidden="1" x14ac:dyDescent="0.15">
      <c r="A99" s="73" t="s">
        <v>740</v>
      </c>
      <c r="B99" s="74" t="s">
        <v>472</v>
      </c>
      <c r="C99" s="78">
        <v>6900</v>
      </c>
      <c r="D99" s="78">
        <v>8900</v>
      </c>
      <c r="E99" s="78">
        <v>10900</v>
      </c>
      <c r="F99" s="96" t="s">
        <v>473</v>
      </c>
      <c r="G99" s="76" t="s">
        <v>473</v>
      </c>
      <c r="H99" s="77">
        <f t="shared" si="0"/>
        <v>1</v>
      </c>
      <c r="I99" s="73" t="s">
        <v>740</v>
      </c>
      <c r="J99" s="74" t="s">
        <v>472</v>
      </c>
      <c r="K99" s="118">
        <f>IF(F99="USD",C99*VLOOKUP(L99,'Kursy walut'!C:E,2,0),IF(F99="EUR",C99*VLOOKUP(L99,'Kursy walut'!C:E,3,0),C99))</f>
        <v>6900</v>
      </c>
      <c r="L99" s="79" t="s">
        <v>473</v>
      </c>
      <c r="M99" s="134">
        <f>C99/VLOOKUP(F99,'Kursy walut'!C:E,2,0)</f>
        <v>2.9575916082924527</v>
      </c>
      <c r="N99" s="81" t="s">
        <v>86</v>
      </c>
      <c r="O99" s="118">
        <f>C99/VLOOKUP(F99,'Kursy walut'!C:E,3,0)</f>
        <v>3.024522300811098</v>
      </c>
      <c r="P99" s="81" t="s">
        <v>85</v>
      </c>
    </row>
    <row r="100" spans="1:16" ht="13" hidden="1" x14ac:dyDescent="0.15">
      <c r="A100" s="73" t="s">
        <v>78</v>
      </c>
      <c r="B100" s="74" t="s">
        <v>179</v>
      </c>
      <c r="C100" s="78">
        <v>129</v>
      </c>
      <c r="D100" s="78">
        <v>169</v>
      </c>
      <c r="E100" s="78">
        <v>209</v>
      </c>
      <c r="F100" s="96" t="s">
        <v>180</v>
      </c>
      <c r="G100" s="76" t="s">
        <v>180</v>
      </c>
      <c r="H100" s="77">
        <f t="shared" si="0"/>
        <v>1</v>
      </c>
      <c r="I100" s="73" t="s">
        <v>78</v>
      </c>
      <c r="J100" s="74" t="s">
        <v>179</v>
      </c>
      <c r="K100" s="118">
        <f>IF(F100="USD",C100*VLOOKUP(L100,'Kursy walut'!C:E,2,0),IF(F100="EUR",C100*VLOOKUP(L100,'Kursy walut'!C:E,3,0),C100))</f>
        <v>129</v>
      </c>
      <c r="L100" s="79" t="s">
        <v>180</v>
      </c>
      <c r="M100" s="134">
        <f>C100/VLOOKUP(F100,'Kursy walut'!C:E,2,0)</f>
        <v>3.4161054808631888</v>
      </c>
      <c r="N100" s="81" t="s">
        <v>86</v>
      </c>
      <c r="O100" s="118">
        <f>C100/VLOOKUP(F100,'Kursy walut'!C:E,3,0)</f>
        <v>3.4923006952114872</v>
      </c>
      <c r="P100" s="81" t="s">
        <v>85</v>
      </c>
    </row>
    <row r="101" spans="1:16" ht="13" x14ac:dyDescent="0.15">
      <c r="A101" s="73" t="s">
        <v>730</v>
      </c>
      <c r="B101" s="74" t="s">
        <v>731</v>
      </c>
      <c r="C101" s="78">
        <v>4.99</v>
      </c>
      <c r="D101" s="78">
        <v>6.49</v>
      </c>
      <c r="E101" s="78">
        <v>7.99</v>
      </c>
      <c r="F101" s="96" t="s">
        <v>86</v>
      </c>
      <c r="G101" s="76" t="s">
        <v>465</v>
      </c>
      <c r="H101" s="77">
        <f t="shared" si="0"/>
        <v>0</v>
      </c>
      <c r="I101" s="73" t="s">
        <v>730</v>
      </c>
      <c r="J101" s="74" t="s">
        <v>731</v>
      </c>
      <c r="K101" s="118">
        <f>IF(F101="USD",C101*VLOOKUP(L101,'Kursy walut'!C:E,2,0),IF(F101="EUR",C101*VLOOKUP(L101,'Kursy walut'!C:E,3,0),C101))</f>
        <v>16.291851000000001</v>
      </c>
      <c r="L101" s="85" t="s">
        <v>465</v>
      </c>
      <c r="M101" s="134">
        <f>C101/VLOOKUP(F101,'Kursy walut'!C:E,2,0)</f>
        <v>4.99</v>
      </c>
      <c r="N101" s="81" t="s">
        <v>86</v>
      </c>
      <c r="O101" s="118">
        <f>C101/VLOOKUP(F101,'Kursy walut'!C:E,3,0)</f>
        <v>5.1012062972807204</v>
      </c>
      <c r="P101" s="81" t="s">
        <v>85</v>
      </c>
    </row>
    <row r="102" spans="1:16" ht="13" hidden="1" x14ac:dyDescent="0.15">
      <c r="A102" s="73" t="s">
        <v>84</v>
      </c>
      <c r="B102" s="74" t="s">
        <v>181</v>
      </c>
      <c r="C102" s="78">
        <v>17.989999999999998</v>
      </c>
      <c r="D102" s="78">
        <v>23.99</v>
      </c>
      <c r="E102" s="78">
        <v>29.99</v>
      </c>
      <c r="F102" s="96" t="s">
        <v>182</v>
      </c>
      <c r="G102" s="76" t="s">
        <v>182</v>
      </c>
      <c r="H102" s="77">
        <f t="shared" si="0"/>
        <v>1</v>
      </c>
      <c r="I102" s="73" t="s">
        <v>84</v>
      </c>
      <c r="J102" s="74" t="s">
        <v>181</v>
      </c>
      <c r="K102" s="118">
        <f>IF(F102="USD",C102*VLOOKUP(L102,'Kursy walut'!C:E,2,0),IF(F102="EUR",C102*VLOOKUP(L102,'Kursy walut'!C:E,3,0),C102))</f>
        <v>17.989999999999998</v>
      </c>
      <c r="L102" s="79" t="s">
        <v>182</v>
      </c>
      <c r="M102" s="134">
        <f>C102/VLOOKUP(F102,'Kursy walut'!C:E,2,0)</f>
        <v>0.96933579753328547</v>
      </c>
      <c r="N102" s="81" t="s">
        <v>86</v>
      </c>
      <c r="O102" s="118">
        <f>C102/VLOOKUP(F102,'Kursy walut'!C:E,3,0)</f>
        <v>0.99042606488694596</v>
      </c>
      <c r="P102" s="81" t="s">
        <v>85</v>
      </c>
    </row>
    <row r="103" spans="1:16" ht="13" hidden="1" x14ac:dyDescent="0.15">
      <c r="A103" s="73" t="s">
        <v>744</v>
      </c>
      <c r="B103" s="74" t="s">
        <v>477</v>
      </c>
      <c r="C103" s="78">
        <v>10000</v>
      </c>
      <c r="D103" s="78">
        <v>13000</v>
      </c>
      <c r="E103" s="78">
        <v>16000</v>
      </c>
      <c r="F103" s="96" t="s">
        <v>478</v>
      </c>
      <c r="G103" s="76" t="s">
        <v>478</v>
      </c>
      <c r="H103" s="77">
        <f t="shared" si="0"/>
        <v>1</v>
      </c>
      <c r="I103" s="73" t="s">
        <v>744</v>
      </c>
      <c r="J103" s="74" t="s">
        <v>477</v>
      </c>
      <c r="K103" s="118">
        <f>IF(F103="USD",C103*VLOOKUP(L103,'Kursy walut'!C:E,2,0),IF(F103="EUR",C103*VLOOKUP(L103,'Kursy walut'!C:E,3,0),C103))</f>
        <v>10000</v>
      </c>
      <c r="L103" s="79" t="s">
        <v>478</v>
      </c>
      <c r="M103" s="134">
        <f>C103/VLOOKUP(F103,'Kursy walut'!C:E,2,0)</f>
        <v>2.6065941253259322</v>
      </c>
      <c r="N103" s="81" t="s">
        <v>86</v>
      </c>
      <c r="O103" s="118">
        <f>C103/VLOOKUP(F103,'Kursy walut'!C:E,3,0)</f>
        <v>2.6675629678238555</v>
      </c>
      <c r="P103" s="81" t="s">
        <v>85</v>
      </c>
    </row>
    <row r="104" spans="1:16" ht="13" x14ac:dyDescent="0.15">
      <c r="A104" s="73" t="s">
        <v>62</v>
      </c>
      <c r="B104" s="74" t="s">
        <v>185</v>
      </c>
      <c r="C104" s="78">
        <v>4.99</v>
      </c>
      <c r="D104" s="78">
        <v>6.49</v>
      </c>
      <c r="E104" s="78">
        <v>7.99</v>
      </c>
      <c r="F104" s="96" t="s">
        <v>86</v>
      </c>
      <c r="G104" s="76" t="s">
        <v>186</v>
      </c>
      <c r="H104" s="77">
        <f t="shared" si="0"/>
        <v>0</v>
      </c>
      <c r="I104" s="73" t="s">
        <v>62</v>
      </c>
      <c r="J104" s="74" t="s">
        <v>185</v>
      </c>
      <c r="K104" s="118">
        <f>IF(F104="USD",C104*VLOOKUP(L104,'Kursy walut'!C:E,2,0),IF(F104="EUR",C104*VLOOKUP(L104,'Kursy walut'!C:E,3,0),C104))</f>
        <v>184.44586899999999</v>
      </c>
      <c r="L104" s="85" t="s">
        <v>186</v>
      </c>
      <c r="M104" s="134">
        <f>C104/VLOOKUP(F104,'Kursy walut'!C:E,2,0)</f>
        <v>4.99</v>
      </c>
      <c r="N104" s="81" t="s">
        <v>86</v>
      </c>
      <c r="O104" s="118">
        <f>C104/VLOOKUP(F104,'Kursy walut'!C:E,3,0)</f>
        <v>5.1012062972807204</v>
      </c>
      <c r="P104" s="81" t="s">
        <v>85</v>
      </c>
    </row>
    <row r="105" spans="1:16" ht="13" hidden="1" x14ac:dyDescent="0.15">
      <c r="A105" s="73" t="s">
        <v>69</v>
      </c>
      <c r="B105" s="74" t="s">
        <v>516</v>
      </c>
      <c r="C105" s="78">
        <v>19.989999999999998</v>
      </c>
      <c r="D105" s="78">
        <v>25.99</v>
      </c>
      <c r="E105" s="78">
        <v>31.99</v>
      </c>
      <c r="F105" s="96" t="s">
        <v>184</v>
      </c>
      <c r="G105" s="76" t="s">
        <v>184</v>
      </c>
      <c r="H105" s="77">
        <f t="shared" si="0"/>
        <v>1</v>
      </c>
      <c r="I105" s="73" t="s">
        <v>69</v>
      </c>
      <c r="J105" s="74" t="s">
        <v>516</v>
      </c>
      <c r="K105" s="118">
        <f>IF(F105="USD",C105*VLOOKUP(L105,'Kursy walut'!C:E,2,0),IF(F105="EUR",C105*VLOOKUP(L105,'Kursy walut'!C:E,3,0),C105))</f>
        <v>19.989999999999998</v>
      </c>
      <c r="L105" s="79" t="s">
        <v>184</v>
      </c>
      <c r="M105" s="134">
        <f>C105/VLOOKUP(F105,'Kursy walut'!C:E,2,0)</f>
        <v>5.4422694726525274</v>
      </c>
      <c r="N105" s="81" t="s">
        <v>86</v>
      </c>
      <c r="O105" s="118">
        <f>C105/VLOOKUP(F105,'Kursy walut'!C:E,3,0)</f>
        <v>5.5587998109062591</v>
      </c>
      <c r="P105" s="81" t="s">
        <v>85</v>
      </c>
    </row>
    <row r="106" spans="1:16" ht="13" hidden="1" x14ac:dyDescent="0.15">
      <c r="A106" s="73" t="s">
        <v>27</v>
      </c>
      <c r="B106" s="74" t="s">
        <v>187</v>
      </c>
      <c r="C106" s="78">
        <v>9.99</v>
      </c>
      <c r="D106" s="78">
        <v>13.99</v>
      </c>
      <c r="E106" s="78">
        <v>16.989999999999998</v>
      </c>
      <c r="F106" s="96" t="s">
        <v>188</v>
      </c>
      <c r="G106" s="76" t="s">
        <v>188</v>
      </c>
      <c r="H106" s="77">
        <f t="shared" si="0"/>
        <v>1</v>
      </c>
      <c r="I106" s="73" t="s">
        <v>27</v>
      </c>
      <c r="J106" s="74" t="s">
        <v>187</v>
      </c>
      <c r="K106" s="118">
        <f>IF(F106="USD",C106*VLOOKUP(L106,'Kursy walut'!C:E,2,0),IF(F106="EUR",C106*VLOOKUP(L106,'Kursy walut'!C:E,3,0),C106))</f>
        <v>9.99</v>
      </c>
      <c r="L106" s="79" t="s">
        <v>188</v>
      </c>
      <c r="M106" s="134">
        <f>C106/VLOOKUP(F106,'Kursy walut'!C:E,2,0)</f>
        <v>11.160764160429002</v>
      </c>
      <c r="N106" s="81" t="s">
        <v>86</v>
      </c>
      <c r="O106" s="118">
        <f>C106/VLOOKUP(F106,'Kursy walut'!C:E,3,0)</f>
        <v>11.332955190017017</v>
      </c>
      <c r="P106" s="81" t="s">
        <v>85</v>
      </c>
    </row>
    <row r="107" spans="1:16" ht="13" hidden="1" x14ac:dyDescent="0.15">
      <c r="A107" s="73" t="s">
        <v>26</v>
      </c>
      <c r="B107" s="74" t="s">
        <v>189</v>
      </c>
      <c r="C107" s="78">
        <v>9.99</v>
      </c>
      <c r="D107" s="78">
        <v>12.99</v>
      </c>
      <c r="E107" s="78">
        <v>15.99</v>
      </c>
      <c r="F107" s="96" t="s">
        <v>86</v>
      </c>
      <c r="G107" s="76" t="s">
        <v>86</v>
      </c>
      <c r="H107" s="77">
        <f t="shared" si="0"/>
        <v>1</v>
      </c>
      <c r="I107" s="73" t="s">
        <v>26</v>
      </c>
      <c r="J107" s="74" t="s">
        <v>189</v>
      </c>
      <c r="K107" s="118">
        <f>IF(F107="USD",C107*VLOOKUP(L107,'Kursy walut'!C:E,2,0),IF(F107="EUR",C107*VLOOKUP(L107,'Kursy walut'!C:E,3,0),C107))</f>
        <v>9.99</v>
      </c>
      <c r="L107" s="79" t="s">
        <v>86</v>
      </c>
      <c r="M107" s="134">
        <f>C107/VLOOKUP(F107,'Kursy walut'!C:E,2,0)</f>
        <v>9.99</v>
      </c>
      <c r="N107" s="81" t="s">
        <v>86</v>
      </c>
      <c r="O107" s="118">
        <f>C107/VLOOKUP(F107,'Kursy walut'!C:E,3,0)</f>
        <v>10.212635452872624</v>
      </c>
      <c r="P107" s="81" t="s">
        <v>85</v>
      </c>
    </row>
    <row r="108" spans="1:16" ht="13" x14ac:dyDescent="0.15">
      <c r="A108" s="73" t="s">
        <v>747</v>
      </c>
      <c r="B108" s="74" t="s">
        <v>748</v>
      </c>
      <c r="C108" s="78">
        <v>7.99</v>
      </c>
      <c r="D108" s="71" t="s">
        <v>823</v>
      </c>
      <c r="E108" s="71" t="s">
        <v>823</v>
      </c>
      <c r="F108" s="96" t="s">
        <v>86</v>
      </c>
      <c r="G108" s="76" t="s">
        <v>485</v>
      </c>
      <c r="H108" s="77">
        <f t="shared" si="0"/>
        <v>0</v>
      </c>
      <c r="I108" s="73" t="s">
        <v>747</v>
      </c>
      <c r="J108" s="74" t="s">
        <v>748</v>
      </c>
      <c r="K108" s="118">
        <f>IF(F108="USD",C108*VLOOKUP(L108,'Kursy walut'!C:E,2,0),IF(F108="EUR",C108*VLOOKUP(L108,'Kursy walut'!C:E,3,0),C108))</f>
        <v>329.50919800000003</v>
      </c>
      <c r="L108" s="85" t="s">
        <v>485</v>
      </c>
      <c r="M108" s="134">
        <f>C108/VLOOKUP(F108,'Kursy walut'!C:E,2,0)</f>
        <v>7.99</v>
      </c>
      <c r="N108" s="81" t="s">
        <v>86</v>
      </c>
      <c r="O108" s="118">
        <f>C108/VLOOKUP(F108,'Kursy walut'!C:E,3,0)</f>
        <v>8.1680637906358626</v>
      </c>
      <c r="P108" s="81" t="s">
        <v>85</v>
      </c>
    </row>
    <row r="109" spans="1:16" ht="13" x14ac:dyDescent="0.15">
      <c r="A109" s="73" t="s">
        <v>749</v>
      </c>
      <c r="B109" s="74" t="s">
        <v>487</v>
      </c>
      <c r="C109" s="78">
        <v>4.99</v>
      </c>
      <c r="D109" s="71" t="s">
        <v>823</v>
      </c>
      <c r="E109" s="71" t="s">
        <v>823</v>
      </c>
      <c r="F109" s="96" t="s">
        <v>86</v>
      </c>
      <c r="G109" s="76" t="s">
        <v>488</v>
      </c>
      <c r="H109" s="77">
        <f t="shared" si="0"/>
        <v>0</v>
      </c>
      <c r="I109" s="73" t="s">
        <v>749</v>
      </c>
      <c r="J109" s="74" t="s">
        <v>487</v>
      </c>
      <c r="K109" s="118">
        <f>IF(F109="USD",C109*VLOOKUP(L109,'Kursy walut'!C:E,2,0),IF(F109="EUR",C109*VLOOKUP(L109,'Kursy walut'!C:E,3,0),C109))</f>
        <v>55374.725107000006</v>
      </c>
      <c r="L109" s="85" t="s">
        <v>488</v>
      </c>
      <c r="M109" s="134">
        <f>C109/VLOOKUP(F109,'Kursy walut'!C:E,2,0)</f>
        <v>4.99</v>
      </c>
      <c r="N109" s="81" t="s">
        <v>86</v>
      </c>
      <c r="O109" s="118">
        <f>C109/VLOOKUP(F109,'Kursy walut'!C:E,3,0)</f>
        <v>5.1012062972807204</v>
      </c>
      <c r="P109" s="81" t="s">
        <v>85</v>
      </c>
    </row>
    <row r="110" spans="1:16" ht="13" x14ac:dyDescent="0.15">
      <c r="A110" s="73" t="s">
        <v>750</v>
      </c>
      <c r="B110" s="74" t="s">
        <v>751</v>
      </c>
      <c r="C110" s="78">
        <v>5.99</v>
      </c>
      <c r="D110" s="78">
        <v>7.8</v>
      </c>
      <c r="E110" s="78">
        <v>9.6</v>
      </c>
      <c r="F110" s="96" t="s">
        <v>86</v>
      </c>
      <c r="G110" s="96" t="s">
        <v>491</v>
      </c>
      <c r="H110" s="77">
        <f t="shared" si="0"/>
        <v>0</v>
      </c>
      <c r="I110" s="73" t="s">
        <v>750</v>
      </c>
      <c r="J110" s="74" t="s">
        <v>751</v>
      </c>
      <c r="K110" s="118">
        <f>IF(F110="USD",C110*VLOOKUP(L110,'Kursy walut'!C:E,2,0),IF(F110="EUR",C110*VLOOKUP(L110,'Kursy walut'!C:E,3,0),C110))</f>
        <v>49.133574000000003</v>
      </c>
      <c r="L110" s="97" t="s">
        <v>491</v>
      </c>
      <c r="M110" s="134">
        <f>C110/VLOOKUP(F110,'Kursy walut'!C:E,2,0)</f>
        <v>5.99</v>
      </c>
      <c r="N110" s="81" t="s">
        <v>86</v>
      </c>
      <c r="O110" s="118">
        <f>C110/VLOOKUP(F110,'Kursy walut'!C:E,3,0)</f>
        <v>6.1234921283991008</v>
      </c>
      <c r="P110" s="81" t="s">
        <v>85</v>
      </c>
    </row>
    <row r="111" spans="1:16" ht="13" hidden="1" x14ac:dyDescent="0.15">
      <c r="A111" s="73" t="s">
        <v>79</v>
      </c>
      <c r="B111" s="74" t="s">
        <v>190</v>
      </c>
      <c r="C111" s="78">
        <v>59000</v>
      </c>
      <c r="D111" s="71" t="s">
        <v>823</v>
      </c>
      <c r="E111" s="71" t="s">
        <v>823</v>
      </c>
      <c r="F111" s="96" t="s">
        <v>191</v>
      </c>
      <c r="G111" s="76" t="s">
        <v>191</v>
      </c>
      <c r="H111" s="77">
        <f t="shared" si="0"/>
        <v>1</v>
      </c>
      <c r="I111" s="73" t="s">
        <v>79</v>
      </c>
      <c r="J111" s="74" t="s">
        <v>190</v>
      </c>
      <c r="K111" s="118">
        <f>IF(F111="USD",C111*VLOOKUP(L111,'Kursy walut'!C:E,2,0),IF(F111="EUR",C111*VLOOKUP(L111,'Kursy walut'!C:E,3,0),C111))</f>
        <v>59000</v>
      </c>
      <c r="L111" s="79" t="s">
        <v>191</v>
      </c>
      <c r="M111" s="134">
        <f>C111/VLOOKUP(F111,'Kursy walut'!C:E,2,0)</f>
        <v>2.4663317808917364</v>
      </c>
      <c r="N111" s="81" t="s">
        <v>86</v>
      </c>
      <c r="O111" s="118">
        <f>C111/VLOOKUP(F111,'Kursy walut'!C:E,3,0)</f>
        <v>2.5210945859438216</v>
      </c>
      <c r="P111" s="81" t="s">
        <v>85</v>
      </c>
    </row>
    <row r="112" spans="1:16" ht="13" x14ac:dyDescent="0.15">
      <c r="A112" s="73" t="s">
        <v>758</v>
      </c>
      <c r="B112" s="74" t="s">
        <v>497</v>
      </c>
      <c r="C112" s="78">
        <v>2.99</v>
      </c>
      <c r="D112" s="71" t="s">
        <v>823</v>
      </c>
      <c r="E112" s="71" t="s">
        <v>823</v>
      </c>
      <c r="F112" s="96" t="s">
        <v>86</v>
      </c>
      <c r="G112" s="76" t="s">
        <v>498</v>
      </c>
      <c r="H112" s="77">
        <f t="shared" si="0"/>
        <v>0</v>
      </c>
      <c r="I112" s="73" t="s">
        <v>758</v>
      </c>
      <c r="J112" s="74" t="s">
        <v>497</v>
      </c>
      <c r="K112" s="118">
        <f>IF(F112="USD",C112*VLOOKUP(L112,'Kursy walut'!C:E,2,0),IF(F112="EUR",C112*VLOOKUP(L112,'Kursy walut'!C:E,3,0),C112))</f>
        <v>47.346949000000002</v>
      </c>
      <c r="L112" s="85" t="s">
        <v>498</v>
      </c>
      <c r="M112" s="134">
        <f>C112/VLOOKUP(F112,'Kursy walut'!C:E,2,0)</f>
        <v>2.99</v>
      </c>
      <c r="N112" s="81" t="s">
        <v>86</v>
      </c>
      <c r="O112" s="118">
        <f>C112/VLOOKUP(F112,'Kursy walut'!C:E,3,0)</f>
        <v>3.0566346350439586</v>
      </c>
      <c r="P112" s="81" t="s">
        <v>85</v>
      </c>
    </row>
  </sheetData>
  <autoFilter ref="A1:P112" xr:uid="{00000000-0009-0000-0000-00000C000000}">
    <filterColumn colId="7">
      <filters>
        <filter val="0"/>
      </filters>
    </filterColumn>
  </autoFilter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O11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12.6640625" defaultRowHeight="15.75" customHeight="1" x14ac:dyDescent="0.15"/>
  <sheetData>
    <row r="1" spans="1:15" ht="15.75" customHeight="1" x14ac:dyDescent="0.15">
      <c r="A1" s="66" t="s">
        <v>501</v>
      </c>
      <c r="B1" s="66" t="s">
        <v>502</v>
      </c>
      <c r="C1" s="66" t="s">
        <v>817</v>
      </c>
      <c r="D1" s="1" t="s">
        <v>819</v>
      </c>
      <c r="E1" s="67" t="s">
        <v>825</v>
      </c>
      <c r="F1" s="67" t="s">
        <v>507</v>
      </c>
      <c r="G1" s="77"/>
      <c r="H1" s="66" t="s">
        <v>501</v>
      </c>
      <c r="I1" s="66" t="s">
        <v>502</v>
      </c>
      <c r="J1" s="26" t="s">
        <v>822</v>
      </c>
      <c r="K1" s="26" t="s">
        <v>509</v>
      </c>
      <c r="L1" s="26" t="s">
        <v>510</v>
      </c>
      <c r="M1" s="13" t="s">
        <v>86</v>
      </c>
      <c r="N1" s="13" t="s">
        <v>510</v>
      </c>
      <c r="O1" s="13" t="s">
        <v>85</v>
      </c>
    </row>
    <row r="2" spans="1:15" ht="15.75" customHeight="1" x14ac:dyDescent="0.15">
      <c r="A2" s="86" t="s">
        <v>520</v>
      </c>
      <c r="B2" s="111" t="s">
        <v>521</v>
      </c>
      <c r="C2" s="128"/>
      <c r="D2" s="128"/>
      <c r="E2" s="89"/>
      <c r="F2" s="89" t="s">
        <v>525</v>
      </c>
      <c r="G2" s="77"/>
      <c r="H2" s="86" t="s">
        <v>520</v>
      </c>
      <c r="I2" s="111" t="s">
        <v>521</v>
      </c>
      <c r="J2" s="128"/>
      <c r="K2" s="129" t="s">
        <v>525</v>
      </c>
      <c r="L2" s="155"/>
      <c r="M2" s="156"/>
      <c r="N2" s="125"/>
      <c r="O2" s="156"/>
    </row>
    <row r="3" spans="1:15" ht="15.75" customHeight="1" x14ac:dyDescent="0.15">
      <c r="A3" s="86" t="s">
        <v>52</v>
      </c>
      <c r="B3" s="87" t="s">
        <v>88</v>
      </c>
      <c r="C3" s="128"/>
      <c r="D3" s="128"/>
      <c r="E3" s="89"/>
      <c r="F3" s="89" t="s">
        <v>89</v>
      </c>
      <c r="G3" s="77"/>
      <c r="H3" s="86" t="s">
        <v>52</v>
      </c>
      <c r="I3" s="87" t="s">
        <v>88</v>
      </c>
      <c r="J3" s="128"/>
      <c r="K3" s="129" t="s">
        <v>89</v>
      </c>
      <c r="L3" s="155"/>
      <c r="M3" s="156"/>
      <c r="N3" s="125"/>
      <c r="O3" s="156"/>
    </row>
    <row r="4" spans="1:15" ht="15.75" customHeight="1" x14ac:dyDescent="0.15">
      <c r="A4" s="73" t="s">
        <v>588</v>
      </c>
      <c r="B4" s="74" t="s">
        <v>589</v>
      </c>
      <c r="C4" s="218" t="s">
        <v>826</v>
      </c>
      <c r="D4" s="199"/>
      <c r="E4" s="139"/>
      <c r="F4" s="139" t="s">
        <v>280</v>
      </c>
      <c r="G4" s="77"/>
      <c r="H4" s="136" t="s">
        <v>588</v>
      </c>
      <c r="I4" s="137" t="s">
        <v>589</v>
      </c>
      <c r="J4" s="142"/>
      <c r="K4" s="143" t="s">
        <v>280</v>
      </c>
      <c r="L4" s="157"/>
      <c r="M4" s="158"/>
      <c r="N4" s="138"/>
      <c r="O4" s="158"/>
    </row>
    <row r="5" spans="1:15" ht="15.75" customHeight="1" x14ac:dyDescent="0.15">
      <c r="A5" s="86" t="s">
        <v>511</v>
      </c>
      <c r="B5" s="87" t="s">
        <v>512</v>
      </c>
      <c r="C5" s="128"/>
      <c r="D5" s="128"/>
      <c r="E5" s="89"/>
      <c r="F5" s="89" t="s">
        <v>85</v>
      </c>
      <c r="G5" s="77"/>
      <c r="H5" s="86" t="s">
        <v>511</v>
      </c>
      <c r="I5" s="87" t="s">
        <v>512</v>
      </c>
      <c r="J5" s="128"/>
      <c r="K5" s="129" t="s">
        <v>85</v>
      </c>
      <c r="L5" s="155"/>
      <c r="M5" s="156"/>
      <c r="N5" s="125"/>
      <c r="O5" s="156"/>
    </row>
    <row r="6" spans="1:15" ht="15.75" customHeight="1" x14ac:dyDescent="0.15">
      <c r="A6" s="73" t="s">
        <v>83</v>
      </c>
      <c r="B6" s="74" t="s">
        <v>90</v>
      </c>
      <c r="C6" s="78">
        <v>5.99</v>
      </c>
      <c r="D6" s="78">
        <v>8.99</v>
      </c>
      <c r="E6" s="96" t="s">
        <v>86</v>
      </c>
      <c r="F6" s="76" t="s">
        <v>91</v>
      </c>
      <c r="G6" s="77"/>
      <c r="H6" s="73" t="s">
        <v>83</v>
      </c>
      <c r="I6" s="74" t="s">
        <v>90</v>
      </c>
      <c r="J6" s="134">
        <f ca="1">IFERROR(__xludf.DUMMYFUNCTION("IF(E6=F6,C6,GOOGLEFINANCE(CONCATENATE(E6,F6))*C6)"),921.29794)</f>
        <v>921.29794000000004</v>
      </c>
      <c r="K6" s="145" t="s">
        <v>91</v>
      </c>
      <c r="L6" s="159">
        <f ca="1">IFERROR(__xludf.DUMMYFUNCTION("VALUE(IF(E6=""USD"",C6,IF(E6=""EUR"",C6/GOOGLEFINANCE(CONCATENATE(M6,O6)),IF(E6=F6,C6/GOOGLEFINANCE(CONCATENATE(M6,K6))))))"),5.99)</f>
        <v>5.99</v>
      </c>
      <c r="M6" s="160" t="s">
        <v>86</v>
      </c>
      <c r="N6" s="131" t="s">
        <v>827</v>
      </c>
      <c r="O6" s="160" t="s">
        <v>85</v>
      </c>
    </row>
    <row r="7" spans="1:15" ht="15.75" customHeight="1" x14ac:dyDescent="0.15">
      <c r="A7" s="73" t="s">
        <v>528</v>
      </c>
      <c r="B7" s="74" t="s">
        <v>216</v>
      </c>
      <c r="C7" s="78">
        <v>5.99</v>
      </c>
      <c r="D7" s="78">
        <v>8.99</v>
      </c>
      <c r="E7" s="96" t="s">
        <v>86</v>
      </c>
      <c r="F7" s="76" t="s">
        <v>217</v>
      </c>
      <c r="G7" s="77"/>
      <c r="H7" s="73" t="s">
        <v>528</v>
      </c>
      <c r="I7" s="74" t="s">
        <v>216</v>
      </c>
      <c r="J7" s="134">
        <f ca="1">IFERROR(__xludf.DUMMYFUNCTION("IF(E7=F7,C7,GOOGLEFINANCE(CONCATENATE(E7,F7))*C7)"),2393.128993)</f>
        <v>2393.1289929999998</v>
      </c>
      <c r="K7" s="145" t="s">
        <v>217</v>
      </c>
      <c r="L7" s="159">
        <f ca="1">IFERROR(__xludf.DUMMYFUNCTION("VALUE(IF(E7=""USD"",C7,IF(E7=""EUR"",C7/GOOGLEFINANCE(CONCATENATE(M7,O7)),IF(E7=F7,C7/GOOGLEFINANCE(CONCATENATE(M7,K7))))))"),5.99)</f>
        <v>5.99</v>
      </c>
      <c r="M7" s="160" t="s">
        <v>86</v>
      </c>
      <c r="N7" s="131" t="s">
        <v>827</v>
      </c>
      <c r="O7" s="160" t="s">
        <v>85</v>
      </c>
    </row>
    <row r="8" spans="1:15" ht="15.75" customHeight="1" x14ac:dyDescent="0.15">
      <c r="A8" s="73" t="s">
        <v>57</v>
      </c>
      <c r="B8" s="74" t="s">
        <v>92</v>
      </c>
      <c r="C8" s="78">
        <v>11.99</v>
      </c>
      <c r="D8" s="78">
        <v>17.989999999999998</v>
      </c>
      <c r="E8" s="96" t="s">
        <v>93</v>
      </c>
      <c r="F8" s="76" t="s">
        <v>93</v>
      </c>
      <c r="G8" s="77"/>
      <c r="H8" s="73" t="s">
        <v>57</v>
      </c>
      <c r="I8" s="74" t="s">
        <v>92</v>
      </c>
      <c r="J8" s="134">
        <f ca="1">IFERROR(__xludf.DUMMYFUNCTION("IF(E8=F8,C8,GOOGLEFINANCE(CONCATENATE(E8,F8))*C8)"),11.99)</f>
        <v>11.99</v>
      </c>
      <c r="K8" s="135" t="s">
        <v>93</v>
      </c>
      <c r="L8" s="159">
        <f ca="1">IFERROR(__xludf.DUMMYFUNCTION("VALUE(IF(E8=""USD"",C8,IF(E8=""EUR"",C8/GOOGLEFINANCE(CONCATENATE(M8,O8)),IF(E8=F8,C8/GOOGLEFINANCE(CONCATENATE(M8,K8))))))"),7.569587808)</f>
        <v>7.5695878079999996</v>
      </c>
      <c r="M8" s="160" t="s">
        <v>86</v>
      </c>
      <c r="N8" s="131" t="s">
        <v>828</v>
      </c>
      <c r="O8" s="160" t="s">
        <v>85</v>
      </c>
    </row>
    <row r="9" spans="1:15" ht="15.75" customHeight="1" x14ac:dyDescent="0.15">
      <c r="A9" s="73" t="s">
        <v>28</v>
      </c>
      <c r="B9" s="74" t="s">
        <v>94</v>
      </c>
      <c r="C9" s="78">
        <v>9.99</v>
      </c>
      <c r="D9" s="78">
        <v>14.99</v>
      </c>
      <c r="E9" s="96" t="s">
        <v>85</v>
      </c>
      <c r="F9" s="76" t="s">
        <v>85</v>
      </c>
      <c r="G9" s="77"/>
      <c r="H9" s="73" t="s">
        <v>28</v>
      </c>
      <c r="I9" s="74" t="s">
        <v>94</v>
      </c>
      <c r="J9" s="134">
        <f ca="1">IFERROR(__xludf.DUMMYFUNCTION("IF(E9=F9,C9,GOOGLEFINANCE(CONCATENATE(E9,F9))*C9)"),9.99)</f>
        <v>9.99</v>
      </c>
      <c r="K9" s="135" t="s">
        <v>85</v>
      </c>
      <c r="L9" s="159">
        <f ca="1">IFERROR(__xludf.DUMMYFUNCTION("VALUE(IF(E9=""USD"",C9,IF(E9=""EUR"",C9/GOOGLEFINANCE(CONCATENATE(M9,O9)),IF(E9=F9,C9/GOOGLEFINANCE(CONCATENATE(M9,K9))))))"),9.829049317)</f>
        <v>9.8290493170000008</v>
      </c>
      <c r="M9" s="160" t="s">
        <v>86</v>
      </c>
      <c r="N9" s="131" t="s">
        <v>523</v>
      </c>
      <c r="O9" s="160" t="s">
        <v>85</v>
      </c>
    </row>
    <row r="10" spans="1:15" ht="15.75" customHeight="1" x14ac:dyDescent="0.15">
      <c r="A10" s="73" t="s">
        <v>535</v>
      </c>
      <c r="B10" s="74" t="s">
        <v>536</v>
      </c>
      <c r="C10" s="78">
        <v>4.99</v>
      </c>
      <c r="D10" s="78">
        <v>7.99</v>
      </c>
      <c r="E10" s="96" t="s">
        <v>86</v>
      </c>
      <c r="F10" s="76" t="s">
        <v>224</v>
      </c>
      <c r="G10" s="77"/>
      <c r="H10" s="73" t="s">
        <v>535</v>
      </c>
      <c r="I10" s="74" t="s">
        <v>536</v>
      </c>
      <c r="J10" s="134">
        <f ca="1">IFERROR(__xludf.DUMMYFUNCTION("IF(E10=F10,C10,GOOGLEFINANCE(CONCATENATE(E10,F10))*C10)"),8.483)</f>
        <v>8.4830000000000005</v>
      </c>
      <c r="K10" s="145" t="s">
        <v>224</v>
      </c>
      <c r="L10" s="159">
        <f ca="1">IFERROR(__xludf.DUMMYFUNCTION("VALUE(IF(E10=""USD"",C10,IF(E10=""EUR"",C10/GOOGLEFINANCE(CONCATENATE(M10,O10)),IF(E10=F10,C10/GOOGLEFINANCE(CONCATENATE(M10,K10))))))"),4.99)</f>
        <v>4.99</v>
      </c>
      <c r="M10" s="160" t="s">
        <v>86</v>
      </c>
      <c r="N10" s="131" t="s">
        <v>829</v>
      </c>
      <c r="O10" s="160" t="s">
        <v>85</v>
      </c>
    </row>
    <row r="11" spans="1:15" ht="15.75" customHeight="1" x14ac:dyDescent="0.15">
      <c r="A11" s="73" t="s">
        <v>547</v>
      </c>
      <c r="B11" s="74" t="s">
        <v>548</v>
      </c>
      <c r="C11" s="78">
        <v>5.99</v>
      </c>
      <c r="D11" s="78">
        <v>8.99</v>
      </c>
      <c r="E11" s="96" t="s">
        <v>86</v>
      </c>
      <c r="F11" s="76" t="s">
        <v>244</v>
      </c>
      <c r="G11" s="77"/>
      <c r="H11" s="73" t="s">
        <v>547</v>
      </c>
      <c r="I11" s="74" t="s">
        <v>548</v>
      </c>
      <c r="J11" s="134">
        <f ca="1">IFERROR(__xludf.DUMMYFUNCTION("IF(E11=F11,C11,GOOGLEFINANCE(CONCATENATE(E11,F11))*C11)"),15.0483954699999)</f>
        <v>15.0483954699999</v>
      </c>
      <c r="K11" s="145" t="s">
        <v>244</v>
      </c>
      <c r="L11" s="159">
        <f ca="1">IFERROR(__xludf.DUMMYFUNCTION("VALUE(IF(E11=""USD"",C11,IF(E11=""EUR"",C11/GOOGLEFINANCE(CONCATENATE(M11,O11)),IF(E11=F11,C11/GOOGLEFINANCE(CONCATENATE(M11,K11))))))"),5.99)</f>
        <v>5.99</v>
      </c>
      <c r="M11" s="160" t="s">
        <v>86</v>
      </c>
      <c r="N11" s="131" t="s">
        <v>827</v>
      </c>
      <c r="O11" s="160" t="s">
        <v>85</v>
      </c>
    </row>
    <row r="12" spans="1:15" ht="15.75" customHeight="1" x14ac:dyDescent="0.15">
      <c r="A12" s="73" t="s">
        <v>537</v>
      </c>
      <c r="B12" s="74" t="s">
        <v>538</v>
      </c>
      <c r="C12" s="78">
        <v>9.99</v>
      </c>
      <c r="D12" s="78">
        <v>14.99</v>
      </c>
      <c r="E12" s="96" t="s">
        <v>85</v>
      </c>
      <c r="F12" s="76" t="s">
        <v>85</v>
      </c>
      <c r="G12" s="77"/>
      <c r="H12" s="73" t="s">
        <v>537</v>
      </c>
      <c r="I12" s="74" t="s">
        <v>538</v>
      </c>
      <c r="J12" s="134">
        <f ca="1">IFERROR(__xludf.DUMMYFUNCTION("IF(E12=F12,C12,GOOGLEFINANCE(CONCATENATE(E12,F12))*C12)"),9.99)</f>
        <v>9.99</v>
      </c>
      <c r="K12" s="135" t="s">
        <v>85</v>
      </c>
      <c r="L12" s="159">
        <f ca="1">IFERROR(__xludf.DUMMYFUNCTION("VALUE(IF(E12=""USD"",C12,IF(E12=""EUR"",C12/GOOGLEFINANCE(CONCATENATE(M12,O12)),IF(E12=F12,C12/GOOGLEFINANCE(CONCATENATE(M12,K12))))))"),9.829049317)</f>
        <v>9.8290493170000008</v>
      </c>
      <c r="M12" s="160" t="s">
        <v>86</v>
      </c>
      <c r="N12" s="131" t="s">
        <v>523</v>
      </c>
      <c r="O12" s="160" t="s">
        <v>85</v>
      </c>
    </row>
    <row r="13" spans="1:15" ht="15.75" customHeight="1" x14ac:dyDescent="0.15">
      <c r="A13" s="73" t="s">
        <v>541</v>
      </c>
      <c r="B13" s="74" t="s">
        <v>542</v>
      </c>
      <c r="C13" s="78">
        <v>5.99</v>
      </c>
      <c r="D13" s="78">
        <v>8.99</v>
      </c>
      <c r="E13" s="96" t="s">
        <v>86</v>
      </c>
      <c r="F13" s="76" t="s">
        <v>236</v>
      </c>
      <c r="G13" s="77"/>
      <c r="H13" s="73" t="s">
        <v>541</v>
      </c>
      <c r="I13" s="74" t="s">
        <v>542</v>
      </c>
      <c r="J13" s="134">
        <f ca="1">IFERROR(__xludf.DUMMYFUNCTION("IF(E13=F13,C13,GOOGLEFINANCE(CONCATENATE(E13,F13))*C13)"),40.9882581899999)</f>
        <v>40.988258189999897</v>
      </c>
      <c r="K13" s="145" t="s">
        <v>236</v>
      </c>
      <c r="L13" s="159">
        <f ca="1">IFERROR(__xludf.DUMMYFUNCTION("VALUE(IF(E13=""USD"",C13,IF(E13=""EUR"",C13/GOOGLEFINANCE(CONCATENATE(M13,O13)),IF(E13=F13,C13/GOOGLEFINANCE(CONCATENATE(M13,K13))))))"),5.99)</f>
        <v>5.99</v>
      </c>
      <c r="M13" s="160" t="s">
        <v>86</v>
      </c>
      <c r="N13" s="131" t="s">
        <v>827</v>
      </c>
      <c r="O13" s="160" t="s">
        <v>85</v>
      </c>
    </row>
    <row r="14" spans="1:15" ht="15.75" customHeight="1" x14ac:dyDescent="0.15">
      <c r="A14" s="73" t="s">
        <v>53</v>
      </c>
      <c r="B14" s="74" t="s">
        <v>95</v>
      </c>
      <c r="C14" s="218" t="s">
        <v>826</v>
      </c>
      <c r="D14" s="199"/>
      <c r="E14" s="139"/>
      <c r="F14" s="139" t="s">
        <v>96</v>
      </c>
      <c r="G14" s="77"/>
      <c r="H14" s="136" t="s">
        <v>53</v>
      </c>
      <c r="I14" s="137" t="s">
        <v>95</v>
      </c>
      <c r="J14" s="142"/>
      <c r="K14" s="143" t="s">
        <v>96</v>
      </c>
      <c r="L14" s="157"/>
      <c r="M14" s="158"/>
      <c r="N14" s="138"/>
      <c r="O14" s="158"/>
    </row>
    <row r="15" spans="1:15" ht="15.75" customHeight="1" x14ac:dyDescent="0.15">
      <c r="A15" s="73" t="s">
        <v>77</v>
      </c>
      <c r="B15" s="74" t="s">
        <v>97</v>
      </c>
      <c r="C15" s="78">
        <v>16.899999999999999</v>
      </c>
      <c r="D15" s="78">
        <v>24.9</v>
      </c>
      <c r="E15" s="96" t="s">
        <v>98</v>
      </c>
      <c r="F15" s="76" t="s">
        <v>98</v>
      </c>
      <c r="G15" s="77"/>
      <c r="H15" s="73" t="s">
        <v>77</v>
      </c>
      <c r="I15" s="74" t="s">
        <v>97</v>
      </c>
      <c r="J15" s="134">
        <f ca="1">IFERROR(__xludf.DUMMYFUNCTION("IF(E15=F15,C15,GOOGLEFINANCE(CONCATENATE(E15,F15))*C15)"),16.9)</f>
        <v>16.899999999999999</v>
      </c>
      <c r="K15" s="135" t="s">
        <v>98</v>
      </c>
      <c r="L15" s="159">
        <f ca="1">IFERROR(__xludf.DUMMYFUNCTION("VALUE(IF(E15=""USD"",C15,IF(E15=""EUR"",C15/GOOGLEFINANCE(CONCATENATE(M15,O15)),IF(E15=F15,C15/GOOGLEFINANCE(CONCATENATE(M15,K15))))))"),3.271896538)</f>
        <v>3.271896538</v>
      </c>
      <c r="M15" s="160" t="s">
        <v>86</v>
      </c>
      <c r="N15" s="131" t="s">
        <v>830</v>
      </c>
      <c r="O15" s="160" t="s">
        <v>85</v>
      </c>
    </row>
    <row r="16" spans="1:15" ht="15.75" customHeight="1" x14ac:dyDescent="0.15">
      <c r="A16" s="73" t="s">
        <v>54</v>
      </c>
      <c r="B16" s="74" t="s">
        <v>99</v>
      </c>
      <c r="C16" s="78">
        <v>8.99</v>
      </c>
      <c r="D16" s="78">
        <v>13.99</v>
      </c>
      <c r="E16" s="96" t="s">
        <v>100</v>
      </c>
      <c r="F16" s="76" t="s">
        <v>100</v>
      </c>
      <c r="G16" s="77"/>
      <c r="H16" s="73" t="s">
        <v>54</v>
      </c>
      <c r="I16" s="74" t="s">
        <v>99</v>
      </c>
      <c r="J16" s="134">
        <f ca="1">IFERROR(__xludf.DUMMYFUNCTION("IF(E16=F16,C16,GOOGLEFINANCE(CONCATENATE(E16,F16))*C16)"),8.99)</f>
        <v>8.99</v>
      </c>
      <c r="K16" s="135" t="s">
        <v>100</v>
      </c>
      <c r="L16" s="159">
        <f ca="1">IFERROR(__xludf.DUMMYFUNCTION("VALUE(IF(E16=""USD"",C16,IF(E16=""EUR"",C16/GOOGLEFINANCE(CONCATENATE(M16,O16)),IF(E16=F16,C16/GOOGLEFINANCE(CONCATENATE(M16,K16))))))"),4.525934764)</f>
        <v>4.5259347639999996</v>
      </c>
      <c r="M16" s="160" t="s">
        <v>86</v>
      </c>
      <c r="N16" s="131" t="s">
        <v>831</v>
      </c>
      <c r="O16" s="160" t="s">
        <v>85</v>
      </c>
    </row>
    <row r="17" spans="1:15" ht="15.75" customHeight="1" x14ac:dyDescent="0.15">
      <c r="A17" s="73" t="s">
        <v>642</v>
      </c>
      <c r="B17" s="74" t="s">
        <v>643</v>
      </c>
      <c r="C17" s="218" t="s">
        <v>826</v>
      </c>
      <c r="D17" s="199"/>
      <c r="E17" s="139"/>
      <c r="F17" s="139" t="s">
        <v>347</v>
      </c>
      <c r="G17" s="77"/>
      <c r="H17" s="136" t="s">
        <v>642</v>
      </c>
      <c r="I17" s="137" t="s">
        <v>643</v>
      </c>
      <c r="J17" s="142"/>
      <c r="K17" s="143" t="s">
        <v>347</v>
      </c>
      <c r="L17" s="157"/>
      <c r="M17" s="158"/>
      <c r="N17" s="138"/>
      <c r="O17" s="158"/>
    </row>
    <row r="18" spans="1:15" ht="15.75" customHeight="1" x14ac:dyDescent="0.15">
      <c r="A18" s="73" t="s">
        <v>560</v>
      </c>
      <c r="B18" s="74" t="s">
        <v>561</v>
      </c>
      <c r="C18" s="78">
        <v>2.99</v>
      </c>
      <c r="D18" s="78">
        <v>4.99</v>
      </c>
      <c r="E18" s="96" t="s">
        <v>86</v>
      </c>
      <c r="F18" s="76" t="s">
        <v>255</v>
      </c>
      <c r="G18" s="77"/>
      <c r="H18" s="73" t="s">
        <v>560</v>
      </c>
      <c r="I18" s="74" t="s">
        <v>561</v>
      </c>
      <c r="J18" s="134">
        <f ca="1">IFERROR(__xludf.DUMMYFUNCTION("IF(E18=F18,C18,GOOGLEFINANCE(CONCATENATE(E18,F18))*C18)"),1992.261219)</f>
        <v>1992.261219</v>
      </c>
      <c r="K18" s="145" t="s">
        <v>255</v>
      </c>
      <c r="L18" s="159">
        <f ca="1">IFERROR(__xludf.DUMMYFUNCTION("VALUE(IF(E18=""USD"",C18,IF(E18=""EUR"",C18/GOOGLEFINANCE(CONCATENATE(M18,O18)),IF(E18=F18,C18/GOOGLEFINANCE(CONCATENATE(M18,K18))))))"),2.99)</f>
        <v>2.99</v>
      </c>
      <c r="M18" s="160" t="s">
        <v>86</v>
      </c>
      <c r="N18" s="131" t="s">
        <v>832</v>
      </c>
      <c r="O18" s="160" t="s">
        <v>85</v>
      </c>
    </row>
    <row r="19" spans="1:15" ht="15.75" customHeight="1" x14ac:dyDescent="0.15">
      <c r="A19" s="73" t="s">
        <v>37</v>
      </c>
      <c r="B19" s="74" t="s">
        <v>101</v>
      </c>
      <c r="C19" s="82">
        <v>9.99</v>
      </c>
      <c r="D19" s="82">
        <v>14.99</v>
      </c>
      <c r="E19" s="96" t="s">
        <v>86</v>
      </c>
      <c r="F19" s="76" t="s">
        <v>102</v>
      </c>
      <c r="G19" s="77"/>
      <c r="H19" s="73" t="s">
        <v>37</v>
      </c>
      <c r="I19" s="74" t="s">
        <v>101</v>
      </c>
      <c r="J19" s="134">
        <f ca="1">IFERROR(__xludf.DUMMYFUNCTION("IF(E19=F19,C19,GOOGLEFINANCE(CONCATENATE(E19,F19))*C19)"),13.6929933)</f>
        <v>13.692993299999999</v>
      </c>
      <c r="K19" s="135" t="s">
        <v>102</v>
      </c>
      <c r="L19" s="159">
        <f ca="1">IFERROR(__xludf.DUMMYFUNCTION("VALUE(IF(E19=""USD"",C19,IF(E19=""EUR"",C19/GOOGLEFINANCE(CONCATENATE(M19,O19)),IF(E19=F19,C19/GOOGLEFINANCE(CONCATENATE(M19,K19))))))"),9.99)</f>
        <v>9.99</v>
      </c>
      <c r="M19" s="160" t="s">
        <v>86</v>
      </c>
      <c r="N19" s="131" t="s">
        <v>833</v>
      </c>
      <c r="O19" s="160" t="s">
        <v>85</v>
      </c>
    </row>
    <row r="20" spans="1:15" ht="15.75" customHeight="1" x14ac:dyDescent="0.15">
      <c r="A20" s="73" t="s">
        <v>68</v>
      </c>
      <c r="B20" s="74" t="s">
        <v>103</v>
      </c>
      <c r="C20" s="78">
        <v>3400</v>
      </c>
      <c r="D20" s="78">
        <v>4900</v>
      </c>
      <c r="E20" s="96" t="s">
        <v>104</v>
      </c>
      <c r="F20" s="76" t="s">
        <v>104</v>
      </c>
      <c r="G20" s="77"/>
      <c r="H20" s="73" t="s">
        <v>68</v>
      </c>
      <c r="I20" s="74" t="s">
        <v>103</v>
      </c>
      <c r="J20" s="134">
        <f ca="1">IFERROR(__xludf.DUMMYFUNCTION("IF(E20=F20,C20,GOOGLEFINANCE(CONCATENATE(E20,F20))*C20)"),3400)</f>
        <v>3400</v>
      </c>
      <c r="K20" s="135" t="s">
        <v>104</v>
      </c>
      <c r="L20" s="159">
        <f ca="1">IFERROR(__xludf.DUMMYFUNCTION("VALUE(IF(E20=""USD"",C20,IF(E20=""EUR"",C20/GOOGLEFINANCE(CONCATENATE(M20,O20)),IF(E20=F20,C20/GOOGLEFINANCE(CONCATENATE(M20,K20))))))"),3.495245438)</f>
        <v>3.495245438</v>
      </c>
      <c r="M20" s="160" t="s">
        <v>86</v>
      </c>
      <c r="N20" s="131" t="s">
        <v>834</v>
      </c>
      <c r="O20" s="160" t="s">
        <v>85</v>
      </c>
    </row>
    <row r="21" spans="1:15" ht="15.75" customHeight="1" x14ac:dyDescent="0.15">
      <c r="A21" s="73" t="s">
        <v>562</v>
      </c>
      <c r="B21" s="74" t="s">
        <v>563</v>
      </c>
      <c r="C21" s="78">
        <v>10</v>
      </c>
      <c r="D21" s="78">
        <v>15</v>
      </c>
      <c r="E21" s="96" t="s">
        <v>258</v>
      </c>
      <c r="F21" s="76" t="s">
        <v>258</v>
      </c>
      <c r="G21" s="77"/>
      <c r="H21" s="73" t="s">
        <v>562</v>
      </c>
      <c r="I21" s="74" t="s">
        <v>563</v>
      </c>
      <c r="J21" s="134">
        <f ca="1">IFERROR(__xludf.DUMMYFUNCTION("IF(E21=F21,C21,GOOGLEFINANCE(CONCATENATE(E21,F21))*C21)"),10)</f>
        <v>10</v>
      </c>
      <c r="K21" s="135" t="s">
        <v>258</v>
      </c>
      <c r="L21" s="159">
        <f ca="1">IFERROR(__xludf.DUMMYFUNCTION("VALUE(IF(E21=""USD"",C21,IF(E21=""EUR"",C21/GOOGLEFINANCE(CONCATENATE(M21,O21)),IF(E21=F21,C21/GOOGLEFINANCE(CONCATENATE(M21,K21))))))"),1.377827992)</f>
        <v>1.3778279920000001</v>
      </c>
      <c r="M21" s="160" t="s">
        <v>86</v>
      </c>
      <c r="N21" s="131" t="s">
        <v>835</v>
      </c>
      <c r="O21" s="160" t="s">
        <v>85</v>
      </c>
    </row>
    <row r="22" spans="1:15" ht="15.75" customHeight="1" x14ac:dyDescent="0.15">
      <c r="A22" s="73" t="s">
        <v>80</v>
      </c>
      <c r="B22" s="74" t="s">
        <v>105</v>
      </c>
      <c r="C22" s="78">
        <v>16900</v>
      </c>
      <c r="D22" s="78">
        <v>25900</v>
      </c>
      <c r="E22" s="96" t="s">
        <v>106</v>
      </c>
      <c r="F22" s="76" t="s">
        <v>106</v>
      </c>
      <c r="G22" s="77"/>
      <c r="H22" s="73" t="s">
        <v>80</v>
      </c>
      <c r="I22" s="74" t="s">
        <v>105</v>
      </c>
      <c r="J22" s="134">
        <f ca="1">IFERROR(__xludf.DUMMYFUNCTION("IF(E22=F22,C22,GOOGLEFINANCE(CONCATENATE(E22,F22))*C22)"),16900)</f>
        <v>16900</v>
      </c>
      <c r="K22" s="135" t="s">
        <v>106</v>
      </c>
      <c r="L22" s="159">
        <f ca="1">IFERROR(__xludf.DUMMYFUNCTION("VALUE(IF(E22=""USD"",C22,IF(E22=""EUR"",C22/GOOGLEFINANCE(CONCATENATE(M22,O22)),IF(E22=F22,C22/GOOGLEFINANCE(CONCATENATE(M22,K22))))))"),3.436286371)</f>
        <v>3.436286371</v>
      </c>
      <c r="M22" s="160" t="s">
        <v>86</v>
      </c>
      <c r="N22" s="131" t="s">
        <v>836</v>
      </c>
      <c r="O22" s="160" t="s">
        <v>85</v>
      </c>
    </row>
    <row r="23" spans="1:15" ht="15.75" customHeight="1" x14ac:dyDescent="0.15">
      <c r="A23" s="73" t="s">
        <v>568</v>
      </c>
      <c r="B23" s="74" t="s">
        <v>569</v>
      </c>
      <c r="C23" s="78">
        <v>5.99</v>
      </c>
      <c r="D23" s="78">
        <v>8.99</v>
      </c>
      <c r="E23" s="96" t="s">
        <v>86</v>
      </c>
      <c r="F23" s="76" t="s">
        <v>263</v>
      </c>
      <c r="G23" s="77"/>
      <c r="H23" s="73" t="s">
        <v>568</v>
      </c>
      <c r="I23" s="74" t="s">
        <v>569</v>
      </c>
      <c r="J23" s="134">
        <f ca="1">IFERROR(__xludf.DUMMYFUNCTION("IF(E23=F23,C23,GOOGLEFINANCE(CONCATENATE(E23,F23))*C23)"),3681.085016)</f>
        <v>3681.085016</v>
      </c>
      <c r="K23" s="145" t="s">
        <v>263</v>
      </c>
      <c r="L23" s="159">
        <f ca="1">IFERROR(__xludf.DUMMYFUNCTION("VALUE(IF(E23=""USD"",C23,IF(E23=""EUR"",C23/GOOGLEFINANCE(CONCATENATE(M23,O23)),IF(E23=F23,C23/GOOGLEFINANCE(CONCATENATE(M23,K23))))))"),5.99)</f>
        <v>5.99</v>
      </c>
      <c r="M23" s="160" t="s">
        <v>86</v>
      </c>
      <c r="N23" s="131" t="s">
        <v>827</v>
      </c>
      <c r="O23" s="160" t="s">
        <v>85</v>
      </c>
    </row>
    <row r="24" spans="1:15" ht="15.75" customHeight="1" x14ac:dyDescent="0.15">
      <c r="A24" s="73" t="s">
        <v>555</v>
      </c>
      <c r="B24" s="74" t="s">
        <v>556</v>
      </c>
      <c r="C24" s="78">
        <v>2.99</v>
      </c>
      <c r="D24" s="78">
        <v>4.99</v>
      </c>
      <c r="E24" s="96" t="s">
        <v>86</v>
      </c>
      <c r="F24" s="76" t="s">
        <v>251</v>
      </c>
      <c r="G24" s="77"/>
      <c r="H24" s="73" t="s">
        <v>555</v>
      </c>
      <c r="I24" s="74" t="s">
        <v>556</v>
      </c>
      <c r="J24" s="134">
        <f ca="1">IFERROR(__xludf.DUMMYFUNCTION("IF(E24=F24,C24,GOOGLEFINANCE(CONCATENATE(E24,F24))*C24)"),1992.301584)</f>
        <v>1992.301584</v>
      </c>
      <c r="K24" s="145" t="s">
        <v>251</v>
      </c>
      <c r="L24" s="159">
        <f ca="1">IFERROR(__xludf.DUMMYFUNCTION("VALUE(IF(E24=""USD"",C24,IF(E24=""EUR"",C24/GOOGLEFINANCE(CONCATENATE(M24,O24)),IF(E24=F24,C24/GOOGLEFINANCE(CONCATENATE(M24,K24))))))"),2.99)</f>
        <v>2.99</v>
      </c>
      <c r="M24" s="160" t="s">
        <v>86</v>
      </c>
      <c r="N24" s="131" t="s">
        <v>832</v>
      </c>
      <c r="O24" s="160" t="s">
        <v>85</v>
      </c>
    </row>
    <row r="25" spans="1:15" ht="15.75" customHeight="1" x14ac:dyDescent="0.15">
      <c r="A25" s="73" t="s">
        <v>46</v>
      </c>
      <c r="B25" s="74" t="s">
        <v>107</v>
      </c>
      <c r="C25" s="78">
        <v>44.99</v>
      </c>
      <c r="D25" s="78">
        <v>69.989999999999995</v>
      </c>
      <c r="E25" s="96" t="s">
        <v>108</v>
      </c>
      <c r="F25" s="76" t="s">
        <v>108</v>
      </c>
      <c r="G25" s="77"/>
      <c r="H25" s="73" t="s">
        <v>46</v>
      </c>
      <c r="I25" s="74" t="s">
        <v>107</v>
      </c>
      <c r="J25" s="134">
        <f ca="1">IFERROR(__xludf.DUMMYFUNCTION("IF(E25=F25,C25,GOOGLEFINANCE(CONCATENATE(E25,F25))*C25)"),44.99)</f>
        <v>44.99</v>
      </c>
      <c r="K25" s="135" t="s">
        <v>108</v>
      </c>
      <c r="L25" s="159">
        <f ca="1">IFERROR(__xludf.DUMMYFUNCTION("VALUE(IF(E25=""USD"",C25,IF(E25=""EUR"",C25/GOOGLEFINANCE(CONCATENATE(M25,O25)),IF(E25=F25,C25/GOOGLEFINANCE(CONCATENATE(M25,K25))))))"),5.874135005)</f>
        <v>5.8741350050000003</v>
      </c>
      <c r="M25" s="160" t="s">
        <v>86</v>
      </c>
      <c r="N25" s="131" t="s">
        <v>837</v>
      </c>
      <c r="O25" s="160" t="s">
        <v>85</v>
      </c>
    </row>
    <row r="26" spans="1:15" ht="15.75" customHeight="1" x14ac:dyDescent="0.15">
      <c r="A26" s="86" t="s">
        <v>572</v>
      </c>
      <c r="B26" s="87" t="s">
        <v>573</v>
      </c>
      <c r="C26" s="128"/>
      <c r="D26" s="128"/>
      <c r="E26" s="89"/>
      <c r="F26" s="89" t="s">
        <v>86</v>
      </c>
      <c r="G26" s="77"/>
      <c r="H26" s="86" t="s">
        <v>572</v>
      </c>
      <c r="I26" s="87" t="s">
        <v>573</v>
      </c>
      <c r="J26" s="128"/>
      <c r="K26" s="129" t="s">
        <v>86</v>
      </c>
      <c r="L26" s="155"/>
      <c r="M26" s="156"/>
      <c r="N26" s="125"/>
      <c r="O26" s="156"/>
    </row>
    <row r="27" spans="1:15" ht="15.75" customHeight="1" x14ac:dyDescent="0.15">
      <c r="A27" s="73" t="s">
        <v>574</v>
      </c>
      <c r="B27" s="74" t="s">
        <v>575</v>
      </c>
      <c r="C27" s="218" t="s">
        <v>826</v>
      </c>
      <c r="D27" s="199"/>
      <c r="E27" s="139"/>
      <c r="F27" s="139" t="s">
        <v>85</v>
      </c>
      <c r="G27" s="77"/>
      <c r="H27" s="136" t="s">
        <v>574</v>
      </c>
      <c r="I27" s="137" t="s">
        <v>575</v>
      </c>
      <c r="J27" s="142"/>
      <c r="K27" s="143" t="s">
        <v>85</v>
      </c>
      <c r="L27" s="157"/>
      <c r="M27" s="158"/>
      <c r="N27" s="138"/>
      <c r="O27" s="158"/>
    </row>
    <row r="28" spans="1:15" ht="15.75" customHeight="1" x14ac:dyDescent="0.15">
      <c r="A28" s="73" t="s">
        <v>41</v>
      </c>
      <c r="B28" s="74" t="s">
        <v>109</v>
      </c>
      <c r="C28" s="78">
        <v>149</v>
      </c>
      <c r="D28" s="78">
        <v>229</v>
      </c>
      <c r="E28" s="96" t="s">
        <v>110</v>
      </c>
      <c r="F28" s="76" t="s">
        <v>110</v>
      </c>
      <c r="G28" s="77"/>
      <c r="H28" s="73" t="s">
        <v>41</v>
      </c>
      <c r="I28" s="74" t="s">
        <v>109</v>
      </c>
      <c r="J28" s="134">
        <f ca="1">IFERROR(__xludf.DUMMYFUNCTION("IF(E28=F28,C28,GOOGLEFINANCE(CONCATENATE(E28,F28))*C28)"),149)</f>
        <v>149</v>
      </c>
      <c r="K28" s="135" t="s">
        <v>110</v>
      </c>
      <c r="L28" s="159">
        <f ca="1">IFERROR(__xludf.DUMMYFUNCTION("VALUE(IF(E28=""USD"",C28,IF(E28=""EUR"",C28/GOOGLEFINANCE(CONCATENATE(M28,O28)),IF(E28=F28,C28/GOOGLEFINANCE(CONCATENATE(M28,K28))))))"),5.987061518)</f>
        <v>5.987061518</v>
      </c>
      <c r="M28" s="160" t="s">
        <v>86</v>
      </c>
      <c r="N28" s="131" t="s">
        <v>838</v>
      </c>
      <c r="O28" s="160" t="s">
        <v>85</v>
      </c>
    </row>
    <row r="29" spans="1:15" ht="15.75" customHeight="1" x14ac:dyDescent="0.15">
      <c r="A29" s="73" t="s">
        <v>581</v>
      </c>
      <c r="B29" s="74" t="s">
        <v>582</v>
      </c>
      <c r="C29" s="78">
        <v>99</v>
      </c>
      <c r="D29" s="78">
        <v>149</v>
      </c>
      <c r="E29" s="96" t="s">
        <v>274</v>
      </c>
      <c r="F29" s="76" t="s">
        <v>274</v>
      </c>
      <c r="G29" s="77"/>
      <c r="H29" s="73" t="s">
        <v>581</v>
      </c>
      <c r="I29" s="74" t="s">
        <v>582</v>
      </c>
      <c r="J29" s="134">
        <f ca="1">IFERROR(__xludf.DUMMYFUNCTION("IF(E29=F29,C29,GOOGLEFINANCE(CONCATENATE(E29,F29))*C29)"),99)</f>
        <v>99</v>
      </c>
      <c r="K29" s="135" t="s">
        <v>274</v>
      </c>
      <c r="L29" s="159">
        <f ca="1">IFERROR(__xludf.DUMMYFUNCTION("VALUE(IF(E29=""USD"",C29,IF(E29=""EUR"",C29/GOOGLEFINANCE(CONCATENATE(M29,O29)),IF(E29=F29,C29/GOOGLEFINANCE(CONCATENATE(M29,K29))))))"),13.09509952)</f>
        <v>13.09509952</v>
      </c>
      <c r="M29" s="160" t="s">
        <v>86</v>
      </c>
      <c r="N29" s="131" t="s">
        <v>839</v>
      </c>
      <c r="O29" s="160" t="s">
        <v>85</v>
      </c>
    </row>
    <row r="30" spans="1:15" ht="15.75" customHeight="1" x14ac:dyDescent="0.15">
      <c r="A30" s="73" t="s">
        <v>586</v>
      </c>
      <c r="B30" s="74" t="s">
        <v>587</v>
      </c>
      <c r="C30" s="78">
        <v>5.99</v>
      </c>
      <c r="D30" s="78">
        <v>8.99</v>
      </c>
      <c r="E30" s="96" t="s">
        <v>86</v>
      </c>
      <c r="F30" s="76" t="s">
        <v>277</v>
      </c>
      <c r="G30" s="77"/>
      <c r="H30" s="73" t="s">
        <v>586</v>
      </c>
      <c r="I30" s="74" t="s">
        <v>587</v>
      </c>
      <c r="J30" s="134">
        <f ca="1">IFERROR(__xludf.DUMMYFUNCTION("IF(E30=F30,C30,GOOGLEFINANCE(CONCATENATE(E30,F30))*C30)"),319.8962495)</f>
        <v>319.89624950000001</v>
      </c>
      <c r="K30" s="145" t="s">
        <v>277</v>
      </c>
      <c r="L30" s="159">
        <f ca="1">IFERROR(__xludf.DUMMYFUNCTION("VALUE(IF(E30=""USD"",C30,IF(E30=""EUR"",C30/GOOGLEFINANCE(CONCATENATE(M30,O30)),IF(E30=F30,C30/GOOGLEFINANCE(CONCATENATE(M30,K30))))))"),5.99)</f>
        <v>5.99</v>
      </c>
      <c r="M30" s="160" t="s">
        <v>86</v>
      </c>
      <c r="N30" s="131" t="s">
        <v>827</v>
      </c>
      <c r="O30" s="160" t="s">
        <v>85</v>
      </c>
    </row>
    <row r="31" spans="1:15" ht="15.75" customHeight="1" x14ac:dyDescent="0.15">
      <c r="A31" s="73" t="s">
        <v>590</v>
      </c>
      <c r="B31" s="74" t="s">
        <v>591</v>
      </c>
      <c r="C31" s="78">
        <v>5.99</v>
      </c>
      <c r="D31" s="78">
        <v>8.99</v>
      </c>
      <c r="E31" s="96" t="s">
        <v>86</v>
      </c>
      <c r="F31" s="76" t="s">
        <v>86</v>
      </c>
      <c r="G31" s="77"/>
      <c r="H31" s="73" t="s">
        <v>590</v>
      </c>
      <c r="I31" s="74" t="s">
        <v>591</v>
      </c>
      <c r="J31" s="134">
        <f ca="1">IFERROR(__xludf.DUMMYFUNCTION("IF(E31=F31,C31,GOOGLEFINANCE(CONCATENATE(E31,F31))*C31)"),5.99)</f>
        <v>5.99</v>
      </c>
      <c r="K31" s="135" t="s">
        <v>86</v>
      </c>
      <c r="L31" s="159">
        <f ca="1">IFERROR(__xludf.DUMMYFUNCTION("VALUE(IF(E31=""USD"",C31,IF(E31=""EUR"",C31/GOOGLEFINANCE(CONCATENATE(M31,O31)),IF(E31=F31,C31/GOOGLEFINANCE(CONCATENATE(M31,K31))))))"),5.99)</f>
        <v>5.99</v>
      </c>
      <c r="M31" s="160" t="s">
        <v>86</v>
      </c>
      <c r="N31" s="131" t="s">
        <v>827</v>
      </c>
      <c r="O31" s="160" t="s">
        <v>85</v>
      </c>
    </row>
    <row r="32" spans="1:15" ht="15.75" customHeight="1" x14ac:dyDescent="0.15">
      <c r="A32" s="73" t="s">
        <v>71</v>
      </c>
      <c r="B32" s="74" t="s">
        <v>111</v>
      </c>
      <c r="C32" s="78">
        <v>49.99</v>
      </c>
      <c r="D32" s="78">
        <v>74.989999999999995</v>
      </c>
      <c r="E32" s="96" t="s">
        <v>112</v>
      </c>
      <c r="F32" s="76" t="s">
        <v>112</v>
      </c>
      <c r="G32" s="77"/>
      <c r="H32" s="73" t="s">
        <v>71</v>
      </c>
      <c r="I32" s="74" t="s">
        <v>111</v>
      </c>
      <c r="J32" s="134">
        <f ca="1">IFERROR(__xludf.DUMMYFUNCTION("IF(E32=F32,C32,GOOGLEFINANCE(CONCATENATE(E32,F32))*C32)"),49.99)</f>
        <v>49.99</v>
      </c>
      <c r="K32" s="135" t="s">
        <v>112</v>
      </c>
      <c r="L32" s="159">
        <f ca="1">IFERROR(__xludf.DUMMYFUNCTION("VALUE(IF(E32=""USD"",C32,IF(E32=""EUR"",C32/GOOGLEFINANCE(CONCATENATE(M32,O32)),IF(E32=F32,C32/GOOGLEFINANCE(CONCATENATE(M32,K32))))))"),2.540116462)</f>
        <v>2.5401164619999999</v>
      </c>
      <c r="M32" s="160" t="s">
        <v>86</v>
      </c>
      <c r="N32" s="131" t="s">
        <v>840</v>
      </c>
      <c r="O32" s="160" t="s">
        <v>85</v>
      </c>
    </row>
    <row r="33" spans="1:15" ht="15.75" customHeight="1" x14ac:dyDescent="0.15">
      <c r="A33" s="73" t="s">
        <v>723</v>
      </c>
      <c r="B33" s="74" t="s">
        <v>724</v>
      </c>
      <c r="C33" s="78">
        <v>5.99</v>
      </c>
      <c r="D33" s="78">
        <v>8.99</v>
      </c>
      <c r="E33" s="96" t="s">
        <v>86</v>
      </c>
      <c r="F33" s="76" t="s">
        <v>86</v>
      </c>
      <c r="G33" s="77"/>
      <c r="H33" s="73" t="s">
        <v>723</v>
      </c>
      <c r="I33" s="74" t="s">
        <v>724</v>
      </c>
      <c r="J33" s="134">
        <f ca="1">IFERROR(__xludf.DUMMYFUNCTION("IF(E33=F33,C33,GOOGLEFINANCE(CONCATENATE(E33,F33))*C33)"),5.99)</f>
        <v>5.99</v>
      </c>
      <c r="K33" s="135" t="s">
        <v>86</v>
      </c>
      <c r="L33" s="159">
        <f ca="1">IFERROR(__xludf.DUMMYFUNCTION("VALUE(IF(E33=""USD"",C33,IF(E33=""EUR"",C33/GOOGLEFINANCE(CONCATENATE(M33,O33)),IF(E33=F33,C33/GOOGLEFINANCE(CONCATENATE(M33,K33))))))"),5.99)</f>
        <v>5.99</v>
      </c>
      <c r="M33" s="160" t="s">
        <v>86</v>
      </c>
      <c r="N33" s="131" t="s">
        <v>827</v>
      </c>
      <c r="O33" s="160" t="s">
        <v>85</v>
      </c>
    </row>
    <row r="34" spans="1:15" ht="15.75" customHeight="1" x14ac:dyDescent="0.15">
      <c r="A34" s="73" t="s">
        <v>42</v>
      </c>
      <c r="B34" s="74" t="s">
        <v>113</v>
      </c>
      <c r="C34" s="78">
        <v>6.99</v>
      </c>
      <c r="D34" s="78">
        <v>10.99</v>
      </c>
      <c r="E34" s="96" t="s">
        <v>85</v>
      </c>
      <c r="F34" s="76" t="s">
        <v>85</v>
      </c>
      <c r="G34" s="77"/>
      <c r="H34" s="73" t="s">
        <v>42</v>
      </c>
      <c r="I34" s="74" t="s">
        <v>113</v>
      </c>
      <c r="J34" s="134">
        <f ca="1">IFERROR(__xludf.DUMMYFUNCTION("IF(E34=F34,C34,GOOGLEFINANCE(CONCATENATE(E34,F34))*C34)"),6.99)</f>
        <v>6.99</v>
      </c>
      <c r="K34" s="135" t="s">
        <v>85</v>
      </c>
      <c r="L34" s="159">
        <f ca="1">IFERROR(__xludf.DUMMYFUNCTION("VALUE(IF(E34=""USD"",C34,IF(E34=""EUR"",C34/GOOGLEFINANCE(CONCATENATE(M34,O34)),IF(E34=F34,C34/GOOGLEFINANCE(CONCATENATE(M34,K34))))))"),6.877382856)</f>
        <v>6.8773828559999997</v>
      </c>
      <c r="M34" s="160" t="s">
        <v>86</v>
      </c>
      <c r="N34" s="131" t="s">
        <v>841</v>
      </c>
      <c r="O34" s="160" t="s">
        <v>85</v>
      </c>
    </row>
    <row r="35" spans="1:15" ht="15.75" customHeight="1" x14ac:dyDescent="0.15">
      <c r="A35" s="73" t="s">
        <v>32</v>
      </c>
      <c r="B35" s="74" t="s">
        <v>114</v>
      </c>
      <c r="C35" s="78">
        <v>9.99</v>
      </c>
      <c r="D35" s="78">
        <v>14.99</v>
      </c>
      <c r="E35" s="96" t="s">
        <v>85</v>
      </c>
      <c r="F35" s="76" t="s">
        <v>85</v>
      </c>
      <c r="G35" s="77"/>
      <c r="H35" s="73" t="s">
        <v>32</v>
      </c>
      <c r="I35" s="74" t="s">
        <v>114</v>
      </c>
      <c r="J35" s="134">
        <f ca="1">IFERROR(__xludf.DUMMYFUNCTION("IF(E35=F35,C35,GOOGLEFINANCE(CONCATENATE(E35,F35))*C35)"),9.99)</f>
        <v>9.99</v>
      </c>
      <c r="K35" s="135" t="s">
        <v>85</v>
      </c>
      <c r="L35" s="159">
        <f ca="1">IFERROR(__xludf.DUMMYFUNCTION("VALUE(IF(E35=""USD"",C35,IF(E35=""EUR"",C35/GOOGLEFINANCE(CONCATENATE(M35,O35)),IF(E35=F35,C35/GOOGLEFINANCE(CONCATENATE(M35,K35))))))"),9.829049317)</f>
        <v>9.8290493170000008</v>
      </c>
      <c r="M35" s="160" t="s">
        <v>86</v>
      </c>
      <c r="N35" s="131" t="s">
        <v>523</v>
      </c>
      <c r="O35" s="160" t="s">
        <v>85</v>
      </c>
    </row>
    <row r="36" spans="1:15" ht="15.75" customHeight="1" x14ac:dyDescent="0.15">
      <c r="A36" s="73" t="s">
        <v>31</v>
      </c>
      <c r="B36" s="74" t="s">
        <v>115</v>
      </c>
      <c r="C36" s="78">
        <v>9.99</v>
      </c>
      <c r="D36" s="78">
        <v>14.99</v>
      </c>
      <c r="E36" s="96" t="s">
        <v>85</v>
      </c>
      <c r="F36" s="76" t="s">
        <v>85</v>
      </c>
      <c r="G36" s="77"/>
      <c r="H36" s="73" t="s">
        <v>31</v>
      </c>
      <c r="I36" s="74" t="s">
        <v>115</v>
      </c>
      <c r="J36" s="134">
        <f ca="1">IFERROR(__xludf.DUMMYFUNCTION("IF(E36=F36,C36,GOOGLEFINANCE(CONCATENATE(E36,F36))*C36)"),9.99)</f>
        <v>9.99</v>
      </c>
      <c r="K36" s="135" t="s">
        <v>85</v>
      </c>
      <c r="L36" s="159">
        <f ca="1">IFERROR(__xludf.DUMMYFUNCTION("VALUE(IF(E36=""USD"",C36,IF(E36=""EUR"",C36/GOOGLEFINANCE(CONCATENATE(M36,O36)),IF(E36=F36,C36/GOOGLEFINANCE(CONCATENATE(M36,K36))))))"),9.829049317)</f>
        <v>9.8290493170000008</v>
      </c>
      <c r="M36" s="160" t="s">
        <v>86</v>
      </c>
      <c r="N36" s="131" t="s">
        <v>523</v>
      </c>
      <c r="O36" s="160" t="s">
        <v>85</v>
      </c>
    </row>
    <row r="37" spans="1:15" ht="15.75" customHeight="1" x14ac:dyDescent="0.15">
      <c r="A37" s="73" t="s">
        <v>598</v>
      </c>
      <c r="B37" s="74" t="s">
        <v>599</v>
      </c>
      <c r="C37" s="78">
        <v>5.99</v>
      </c>
      <c r="D37" s="78">
        <v>8.99</v>
      </c>
      <c r="E37" s="96" t="s">
        <v>86</v>
      </c>
      <c r="F37" s="76" t="s">
        <v>294</v>
      </c>
      <c r="G37" s="77"/>
      <c r="H37" s="73" t="s">
        <v>598</v>
      </c>
      <c r="I37" s="74" t="s">
        <v>599</v>
      </c>
      <c r="J37" s="134">
        <f ca="1">IFERROR(__xludf.DUMMYFUNCTION("IF(E37=F37,C37,GOOGLEFINANCE(CONCATENATE(E37,F37))*C37)"),16.5324)</f>
        <v>16.532399999999999</v>
      </c>
      <c r="K37" s="145" t="s">
        <v>294</v>
      </c>
      <c r="L37" s="159">
        <f ca="1">IFERROR(__xludf.DUMMYFUNCTION("VALUE(IF(E37=""USD"",C37,IF(E37=""EUR"",C37/GOOGLEFINANCE(CONCATENATE(M37,O37)),IF(E37=F37,C37/GOOGLEFINANCE(CONCATENATE(M37,K37))))))"),5.99)</f>
        <v>5.99</v>
      </c>
      <c r="M37" s="160" t="s">
        <v>86</v>
      </c>
      <c r="N37" s="131" t="s">
        <v>827</v>
      </c>
      <c r="O37" s="160" t="s">
        <v>85</v>
      </c>
    </row>
    <row r="38" spans="1:15" ht="15.75" customHeight="1" x14ac:dyDescent="0.15">
      <c r="A38" s="73" t="s">
        <v>29</v>
      </c>
      <c r="B38" s="74" t="s">
        <v>116</v>
      </c>
      <c r="C38" s="78">
        <v>9.99</v>
      </c>
      <c r="D38" s="78">
        <v>14.99</v>
      </c>
      <c r="E38" s="96" t="s">
        <v>85</v>
      </c>
      <c r="F38" s="76" t="s">
        <v>85</v>
      </c>
      <c r="G38" s="77"/>
      <c r="H38" s="73" t="s">
        <v>29</v>
      </c>
      <c r="I38" s="74" t="s">
        <v>116</v>
      </c>
      <c r="J38" s="134">
        <f ca="1">IFERROR(__xludf.DUMMYFUNCTION("IF(E38=F38,C38,GOOGLEFINANCE(CONCATENATE(E38,F38))*C38)"),9.99)</f>
        <v>9.99</v>
      </c>
      <c r="K38" s="135" t="s">
        <v>85</v>
      </c>
      <c r="L38" s="159">
        <f ca="1">IFERROR(__xludf.DUMMYFUNCTION("VALUE(IF(E38=""USD"",C38,IF(E38=""EUR"",C38/GOOGLEFINANCE(CONCATENATE(M38,O38)),IF(E38=F38,C38/GOOGLEFINANCE(CONCATENATE(M38,K38))))))"),9.829049317)</f>
        <v>9.8290493170000008</v>
      </c>
      <c r="M38" s="160" t="s">
        <v>86</v>
      </c>
      <c r="N38" s="131" t="s">
        <v>523</v>
      </c>
      <c r="O38" s="160" t="s">
        <v>85</v>
      </c>
    </row>
    <row r="39" spans="1:15" ht="15.75" customHeight="1" x14ac:dyDescent="0.15">
      <c r="A39" s="73" t="s">
        <v>602</v>
      </c>
      <c r="B39" s="74" t="s">
        <v>296</v>
      </c>
      <c r="C39" s="218" t="s">
        <v>826</v>
      </c>
      <c r="D39" s="199"/>
      <c r="E39" s="139"/>
      <c r="F39" s="139" t="s">
        <v>297</v>
      </c>
      <c r="G39" s="77"/>
      <c r="H39" s="136" t="s">
        <v>602</v>
      </c>
      <c r="I39" s="137" t="s">
        <v>296</v>
      </c>
      <c r="J39" s="142"/>
      <c r="K39" s="143" t="s">
        <v>297</v>
      </c>
      <c r="L39" s="157"/>
      <c r="M39" s="158"/>
      <c r="N39" s="138"/>
      <c r="O39" s="158"/>
    </row>
    <row r="40" spans="1:15" ht="15.75" customHeight="1" x14ac:dyDescent="0.15">
      <c r="A40" s="73" t="s">
        <v>40</v>
      </c>
      <c r="B40" s="74" t="s">
        <v>117</v>
      </c>
      <c r="C40" s="78">
        <v>6.99</v>
      </c>
      <c r="D40" s="78">
        <v>10.99</v>
      </c>
      <c r="E40" s="96" t="s">
        <v>85</v>
      </c>
      <c r="F40" s="76" t="s">
        <v>85</v>
      </c>
      <c r="G40" s="77"/>
      <c r="H40" s="73" t="s">
        <v>40</v>
      </c>
      <c r="I40" s="74" t="s">
        <v>117</v>
      </c>
      <c r="J40" s="134">
        <f ca="1">IFERROR(__xludf.DUMMYFUNCTION("IF(E40=F40,C40,GOOGLEFINANCE(CONCATENATE(E40,F40))*C40)"),6.99)</f>
        <v>6.99</v>
      </c>
      <c r="K40" s="135" t="s">
        <v>85</v>
      </c>
      <c r="L40" s="159">
        <f ca="1">IFERROR(__xludf.DUMMYFUNCTION("VALUE(IF(E40=""USD"",C40,IF(E40=""EUR"",C40/GOOGLEFINANCE(CONCATENATE(M40,O40)),IF(E40=F40,C40/GOOGLEFINANCE(CONCATENATE(M40,K40))))))"),6.877382856)</f>
        <v>6.8773828559999997</v>
      </c>
      <c r="M40" s="160" t="s">
        <v>86</v>
      </c>
      <c r="N40" s="131" t="s">
        <v>841</v>
      </c>
      <c r="O40" s="160" t="s">
        <v>85</v>
      </c>
    </row>
    <row r="41" spans="1:15" ht="13" x14ac:dyDescent="0.15">
      <c r="A41" s="73" t="s">
        <v>603</v>
      </c>
      <c r="B41" s="74" t="s">
        <v>604</v>
      </c>
      <c r="C41" s="78">
        <v>5.99</v>
      </c>
      <c r="D41" s="78">
        <v>8.99</v>
      </c>
      <c r="E41" s="96" t="s">
        <v>86</v>
      </c>
      <c r="F41" s="76" t="s">
        <v>302</v>
      </c>
      <c r="G41" s="77"/>
      <c r="H41" s="73" t="s">
        <v>603</v>
      </c>
      <c r="I41" s="74" t="s">
        <v>604</v>
      </c>
      <c r="J41" s="134">
        <f ca="1">IFERROR(__xludf.DUMMYFUNCTION("IF(E41=F41,C41,GOOGLEFINANCE(CONCATENATE(E41,F41))*C41)"),46.49875869)</f>
        <v>46.498758690000003</v>
      </c>
      <c r="K41" s="145" t="s">
        <v>302</v>
      </c>
      <c r="L41" s="159">
        <f ca="1">IFERROR(__xludf.DUMMYFUNCTION("VALUE(IF(E41=""USD"",C41,IF(E41=""EUR"",C41/GOOGLEFINANCE(CONCATENATE(M41,O41)),IF(E41=F41,C41/GOOGLEFINANCE(CONCATENATE(M41,K41))))))"),5.99)</f>
        <v>5.99</v>
      </c>
      <c r="M41" s="160" t="s">
        <v>86</v>
      </c>
      <c r="N41" s="131" t="s">
        <v>827</v>
      </c>
      <c r="O41" s="160" t="s">
        <v>85</v>
      </c>
    </row>
    <row r="42" spans="1:15" ht="13" x14ac:dyDescent="0.15">
      <c r="A42" s="73" t="s">
        <v>608</v>
      </c>
      <c r="B42" s="74" t="s">
        <v>306</v>
      </c>
      <c r="C42" s="78">
        <v>5.99</v>
      </c>
      <c r="D42" s="78">
        <v>8.99</v>
      </c>
      <c r="E42" s="96" t="s">
        <v>86</v>
      </c>
      <c r="F42" s="76" t="s">
        <v>307</v>
      </c>
      <c r="G42" s="77"/>
      <c r="H42" s="73" t="s">
        <v>608</v>
      </c>
      <c r="I42" s="74" t="s">
        <v>306</v>
      </c>
      <c r="J42" s="134">
        <f ca="1">IFERROR(__xludf.DUMMYFUNCTION("IF(E42=F42,C42,GOOGLEFINANCE(CONCATENATE(E42,F42))*C42)"),146.6354995)</f>
        <v>146.63549950000001</v>
      </c>
      <c r="K42" s="145" t="s">
        <v>307</v>
      </c>
      <c r="L42" s="159">
        <f ca="1">IFERROR(__xludf.DUMMYFUNCTION("VALUE(IF(E42=""USD"",C42,IF(E42=""EUR"",C42/GOOGLEFINANCE(CONCATENATE(M42,O42)),IF(E42=F42,C42/GOOGLEFINANCE(CONCATENATE(M42,K42))))))"),5.99)</f>
        <v>5.99</v>
      </c>
      <c r="M42" s="160" t="s">
        <v>86</v>
      </c>
      <c r="N42" s="131" t="s">
        <v>827</v>
      </c>
      <c r="O42" s="160" t="s">
        <v>85</v>
      </c>
    </row>
    <row r="43" spans="1:15" ht="13" x14ac:dyDescent="0.15">
      <c r="A43" s="73" t="s">
        <v>65</v>
      </c>
      <c r="B43" s="74" t="s">
        <v>118</v>
      </c>
      <c r="C43" s="78">
        <v>58</v>
      </c>
      <c r="D43" s="78">
        <v>88</v>
      </c>
      <c r="E43" s="96" t="s">
        <v>119</v>
      </c>
      <c r="F43" s="76" t="s">
        <v>119</v>
      </c>
      <c r="G43" s="77"/>
      <c r="H43" s="73" t="s">
        <v>65</v>
      </c>
      <c r="I43" s="74" t="s">
        <v>118</v>
      </c>
      <c r="J43" s="134">
        <f ca="1">IFERROR(__xludf.DUMMYFUNCTION("IF(E43=F43,C43,GOOGLEFINANCE(CONCATENATE(E43,F43))*C43)"),58)</f>
        <v>58</v>
      </c>
      <c r="K43" s="135" t="s">
        <v>119</v>
      </c>
      <c r="L43" s="159">
        <f ca="1">IFERROR(__xludf.DUMMYFUNCTION("VALUE(IF(E43=""USD"",C43,IF(E43=""EUR"",C43/GOOGLEFINANCE(CONCATENATE(M43,O43)),IF(E43=F43,C43/GOOGLEFINANCE(CONCATENATE(M43,K43))))))"),7.389297494)</f>
        <v>7.389297494</v>
      </c>
      <c r="M43" s="160" t="s">
        <v>86</v>
      </c>
      <c r="N43" s="131" t="s">
        <v>842</v>
      </c>
      <c r="O43" s="160" t="s">
        <v>85</v>
      </c>
    </row>
    <row r="44" spans="1:15" ht="13" x14ac:dyDescent="0.15">
      <c r="A44" s="73" t="s">
        <v>72</v>
      </c>
      <c r="B44" s="74" t="s">
        <v>120</v>
      </c>
      <c r="C44" s="78">
        <v>1490</v>
      </c>
      <c r="D44" s="78">
        <v>2290</v>
      </c>
      <c r="E44" s="96" t="s">
        <v>121</v>
      </c>
      <c r="F44" s="76" t="s">
        <v>121</v>
      </c>
      <c r="G44" s="77"/>
      <c r="H44" s="73" t="s">
        <v>72</v>
      </c>
      <c r="I44" s="74" t="s">
        <v>120</v>
      </c>
      <c r="J44" s="134">
        <f ca="1">IFERROR(__xludf.DUMMYFUNCTION("IF(E44=F44,C44,GOOGLEFINANCE(CONCATENATE(E44,F44))*C44)"),1490)</f>
        <v>1490</v>
      </c>
      <c r="K44" s="135" t="s">
        <v>121</v>
      </c>
      <c r="L44" s="159">
        <f ca="1">IFERROR(__xludf.DUMMYFUNCTION("VALUE(IF(E44=""USD"",C44,IF(E44=""EUR"",C44/GOOGLEFINANCE(CONCATENATE(M44,O44)),IF(E44=F44,C44/GOOGLEFINANCE(CONCATENATE(M44,K44))))))"),3.58543687)</f>
        <v>3.5854368700000001</v>
      </c>
      <c r="M44" s="160" t="s">
        <v>86</v>
      </c>
      <c r="N44" s="131" t="s">
        <v>834</v>
      </c>
      <c r="O44" s="160" t="s">
        <v>85</v>
      </c>
    </row>
    <row r="45" spans="1:15" ht="13" x14ac:dyDescent="0.15">
      <c r="A45" s="73" t="s">
        <v>626</v>
      </c>
      <c r="B45" s="74" t="s">
        <v>627</v>
      </c>
      <c r="C45" s="218" t="s">
        <v>826</v>
      </c>
      <c r="D45" s="199"/>
      <c r="E45" s="139"/>
      <c r="F45" s="139" t="s">
        <v>328</v>
      </c>
      <c r="G45" s="77"/>
      <c r="H45" s="136" t="s">
        <v>626</v>
      </c>
      <c r="I45" s="137" t="s">
        <v>627</v>
      </c>
      <c r="J45" s="142"/>
      <c r="K45" s="143" t="s">
        <v>328</v>
      </c>
      <c r="L45" s="157"/>
      <c r="M45" s="158"/>
      <c r="N45" s="138"/>
      <c r="O45" s="158"/>
    </row>
    <row r="46" spans="1:15" ht="13" x14ac:dyDescent="0.15">
      <c r="A46" s="73" t="s">
        <v>82</v>
      </c>
      <c r="B46" s="74" t="s">
        <v>122</v>
      </c>
      <c r="C46" s="78">
        <v>99</v>
      </c>
      <c r="D46" s="78">
        <v>149</v>
      </c>
      <c r="E46" s="96" t="s">
        <v>123</v>
      </c>
      <c r="F46" s="76" t="s">
        <v>123</v>
      </c>
      <c r="G46" s="77"/>
      <c r="H46" s="73" t="s">
        <v>82</v>
      </c>
      <c r="I46" s="74" t="s">
        <v>122</v>
      </c>
      <c r="J46" s="134">
        <f ca="1">IFERROR(__xludf.DUMMYFUNCTION("IF(E46=F46,C46,GOOGLEFINANCE(CONCATENATE(E46,F46))*C46)"),99)</f>
        <v>99</v>
      </c>
      <c r="K46" s="135" t="s">
        <v>123</v>
      </c>
      <c r="L46" s="159">
        <f ca="1">IFERROR(__xludf.DUMMYFUNCTION("VALUE(IF(E46=""USD"",C46,IF(E46=""EUR"",C46/GOOGLEFINANCE(CONCATENATE(M46,O46)),IF(E46=F46,C46/GOOGLEFINANCE(CONCATENATE(M46,K46))))))"),1.196750641)</f>
        <v>1.1967506409999999</v>
      </c>
      <c r="M46" s="160" t="s">
        <v>86</v>
      </c>
      <c r="N46" s="131" t="s">
        <v>843</v>
      </c>
      <c r="O46" s="160" t="s">
        <v>85</v>
      </c>
    </row>
    <row r="47" spans="1:15" ht="13" x14ac:dyDescent="0.15">
      <c r="A47" s="73" t="s">
        <v>76</v>
      </c>
      <c r="B47" s="74" t="s">
        <v>124</v>
      </c>
      <c r="C47" s="78">
        <v>49000</v>
      </c>
      <c r="D47" s="78">
        <v>75000</v>
      </c>
      <c r="E47" s="96" t="s">
        <v>125</v>
      </c>
      <c r="F47" s="76" t="s">
        <v>125</v>
      </c>
      <c r="G47" s="77"/>
      <c r="H47" s="73" t="s">
        <v>76</v>
      </c>
      <c r="I47" s="74" t="s">
        <v>124</v>
      </c>
      <c r="J47" s="134">
        <f ca="1">IFERROR(__xludf.DUMMYFUNCTION("IF(E47=F47,C47,GOOGLEFINANCE(CONCATENATE(E47,F47))*C47)"),49000)</f>
        <v>49000</v>
      </c>
      <c r="K47" s="135" t="s">
        <v>125</v>
      </c>
      <c r="L47" s="159">
        <f ca="1">IFERROR(__xludf.DUMMYFUNCTION("VALUE(IF(E47=""USD"",C47,IF(E47=""EUR"",C47/GOOGLEFINANCE(CONCATENATE(M47,O47)),IF(E47=F47,C47/GOOGLEFINANCE(CONCATENATE(M47,K47))))))"),3.145663478)</f>
        <v>3.1456634779999999</v>
      </c>
      <c r="M47" s="160" t="s">
        <v>86</v>
      </c>
      <c r="N47" s="131" t="s">
        <v>844</v>
      </c>
      <c r="O47" s="160" t="s">
        <v>85</v>
      </c>
    </row>
    <row r="48" spans="1:15" ht="13" x14ac:dyDescent="0.15">
      <c r="A48" s="86" t="s">
        <v>625</v>
      </c>
      <c r="B48" s="87" t="s">
        <v>324</v>
      </c>
      <c r="C48" s="128"/>
      <c r="D48" s="128"/>
      <c r="E48" s="89"/>
      <c r="F48" s="89" t="s">
        <v>325</v>
      </c>
      <c r="G48" s="77"/>
      <c r="H48" s="86" t="s">
        <v>625</v>
      </c>
      <c r="I48" s="87" t="s">
        <v>324</v>
      </c>
      <c r="J48" s="128"/>
      <c r="K48" s="129" t="s">
        <v>325</v>
      </c>
      <c r="L48" s="155"/>
      <c r="M48" s="156"/>
      <c r="N48" s="125"/>
      <c r="O48" s="156"/>
    </row>
    <row r="49" spans="1:15" ht="13" x14ac:dyDescent="0.15">
      <c r="A49" s="73" t="s">
        <v>623</v>
      </c>
      <c r="B49" s="74" t="s">
        <v>624</v>
      </c>
      <c r="C49" s="218" t="s">
        <v>826</v>
      </c>
      <c r="D49" s="199"/>
      <c r="E49" s="139"/>
      <c r="F49" s="139" t="s">
        <v>322</v>
      </c>
      <c r="G49" s="77"/>
      <c r="H49" s="136" t="s">
        <v>623</v>
      </c>
      <c r="I49" s="137" t="s">
        <v>624</v>
      </c>
      <c r="J49" s="142"/>
      <c r="K49" s="143" t="s">
        <v>322</v>
      </c>
      <c r="L49" s="157"/>
      <c r="M49" s="158"/>
      <c r="N49" s="138"/>
      <c r="O49" s="158"/>
    </row>
    <row r="50" spans="1:15" ht="13" x14ac:dyDescent="0.15">
      <c r="A50" s="73" t="s">
        <v>30</v>
      </c>
      <c r="B50" s="74" t="s">
        <v>126</v>
      </c>
      <c r="C50" s="78">
        <v>9.99</v>
      </c>
      <c r="D50" s="78">
        <v>14.99</v>
      </c>
      <c r="E50" s="96" t="s">
        <v>85</v>
      </c>
      <c r="F50" s="76" t="s">
        <v>85</v>
      </c>
      <c r="G50" s="77"/>
      <c r="H50" s="73" t="s">
        <v>30</v>
      </c>
      <c r="I50" s="74" t="s">
        <v>126</v>
      </c>
      <c r="J50" s="134">
        <f ca="1">IFERROR(__xludf.DUMMYFUNCTION("IF(E50=F50,C50,GOOGLEFINANCE(CONCATENATE(E50,F50))*C50)"),9.99)</f>
        <v>9.99</v>
      </c>
      <c r="K50" s="135" t="s">
        <v>85</v>
      </c>
      <c r="L50" s="159">
        <f ca="1">IFERROR(__xludf.DUMMYFUNCTION("VALUE(IF(E50=""USD"",C50,IF(E50=""EUR"",C50/GOOGLEFINANCE(CONCATENATE(M50,O50)),IF(E50=F50,C50/GOOGLEFINANCE(CONCATENATE(M50,K50))))))"),9.829049317)</f>
        <v>9.8290493170000008</v>
      </c>
      <c r="M50" s="160" t="s">
        <v>86</v>
      </c>
      <c r="N50" s="161" t="s">
        <v>523</v>
      </c>
      <c r="O50" s="160" t="s">
        <v>85</v>
      </c>
    </row>
    <row r="51" spans="1:15" ht="13" x14ac:dyDescent="0.15">
      <c r="A51" s="73" t="s">
        <v>38</v>
      </c>
      <c r="B51" s="74" t="s">
        <v>127</v>
      </c>
      <c r="C51" s="78">
        <v>19.899999999999999</v>
      </c>
      <c r="D51" s="78">
        <v>29.9</v>
      </c>
      <c r="E51" s="96" t="s">
        <v>128</v>
      </c>
      <c r="F51" s="76" t="s">
        <v>128</v>
      </c>
      <c r="G51" s="77"/>
      <c r="H51" s="73" t="s">
        <v>38</v>
      </c>
      <c r="I51" s="74" t="s">
        <v>127</v>
      </c>
      <c r="J51" s="134">
        <f ca="1">IFERROR(__xludf.DUMMYFUNCTION("IF(E51=F51,C51,GOOGLEFINANCE(CONCATENATE(E51,F51))*C51)"),19.9)</f>
        <v>19.899999999999999</v>
      </c>
      <c r="K51" s="135" t="s">
        <v>128</v>
      </c>
      <c r="L51" s="159">
        <f ca="1">IFERROR(__xludf.DUMMYFUNCTION("VALUE(IF(E51=""USD"",C51,IF(E51=""EUR"",C51/GOOGLEFINANCE(CONCATENATE(M51,O51)),IF(E51=F51,C51/GOOGLEFINANCE(CONCATENATE(M51,K51))))))"),5.612851455)</f>
        <v>5.6128514550000004</v>
      </c>
      <c r="M51" s="160" t="s">
        <v>86</v>
      </c>
      <c r="N51" s="131" t="s">
        <v>845</v>
      </c>
      <c r="O51" s="160" t="s">
        <v>85</v>
      </c>
    </row>
    <row r="52" spans="1:15" ht="13" x14ac:dyDescent="0.15">
      <c r="A52" s="73" t="s">
        <v>34</v>
      </c>
      <c r="B52" s="74" t="s">
        <v>129</v>
      </c>
      <c r="C52" s="78">
        <v>9.99</v>
      </c>
      <c r="D52" s="78" t="s">
        <v>846</v>
      </c>
      <c r="E52" s="96" t="s">
        <v>85</v>
      </c>
      <c r="F52" s="76" t="s">
        <v>85</v>
      </c>
      <c r="G52" s="77"/>
      <c r="H52" s="73" t="s">
        <v>34</v>
      </c>
      <c r="I52" s="74" t="s">
        <v>129</v>
      </c>
      <c r="J52" s="134">
        <f ca="1">IFERROR(__xludf.DUMMYFUNCTION("IF(E52=F52,C52,GOOGLEFINANCE(CONCATENATE(E52,F52))*C52)"),9.99)</f>
        <v>9.99</v>
      </c>
      <c r="K52" s="135" t="s">
        <v>85</v>
      </c>
      <c r="L52" s="159">
        <f ca="1">IFERROR(__xludf.DUMMYFUNCTION("VALUE(IF(E52=""USD"",C52,IF(E52=""EUR"",C52/GOOGLEFINANCE(CONCATENATE(M52,O52)),IF(E52=F52,C52/GOOGLEFINANCE(CONCATENATE(M52,K52))))))"),9.829049317)</f>
        <v>9.8290493170000008</v>
      </c>
      <c r="M52" s="160" t="s">
        <v>86</v>
      </c>
      <c r="N52" s="161" t="s">
        <v>523</v>
      </c>
      <c r="O52" s="160" t="s">
        <v>85</v>
      </c>
    </row>
    <row r="53" spans="1:15" ht="13" x14ac:dyDescent="0.15">
      <c r="A53" s="73" t="s">
        <v>628</v>
      </c>
      <c r="B53" s="74" t="s">
        <v>629</v>
      </c>
      <c r="C53" s="78">
        <v>5.99</v>
      </c>
      <c r="D53" s="78">
        <v>8.99</v>
      </c>
      <c r="E53" s="96" t="s">
        <v>86</v>
      </c>
      <c r="F53" s="76" t="s">
        <v>333</v>
      </c>
      <c r="G53" s="77"/>
      <c r="H53" s="73" t="s">
        <v>628</v>
      </c>
      <c r="I53" s="74" t="s">
        <v>629</v>
      </c>
      <c r="J53" s="134">
        <f ca="1">IFERROR(__xludf.DUMMYFUNCTION("IF(E53=F53,C53,GOOGLEFINANCE(CONCATENATE(E53,F53))*C53)"),907.691655)</f>
        <v>907.69165499999997</v>
      </c>
      <c r="K53" s="145" t="s">
        <v>333</v>
      </c>
      <c r="L53" s="159">
        <f ca="1">IFERROR(__xludf.DUMMYFUNCTION("VALUE(IF(E53=""USD"",C53,IF(E53=""EUR"",C53/GOOGLEFINANCE(CONCATENATE(M53,O53)),IF(E53=F53,C53/GOOGLEFINANCE(CONCATENATE(M53,K53))))))"),5.99)</f>
        <v>5.99</v>
      </c>
      <c r="M53" s="160" t="s">
        <v>86</v>
      </c>
      <c r="N53" s="131" t="s">
        <v>827</v>
      </c>
      <c r="O53" s="160" t="s">
        <v>85</v>
      </c>
    </row>
    <row r="54" spans="1:15" ht="13" x14ac:dyDescent="0.15">
      <c r="A54" s="73" t="s">
        <v>67</v>
      </c>
      <c r="B54" s="74" t="s">
        <v>130</v>
      </c>
      <c r="C54" s="78">
        <v>980</v>
      </c>
      <c r="D54" s="78">
        <v>1480</v>
      </c>
      <c r="E54" s="96" t="s">
        <v>131</v>
      </c>
      <c r="F54" s="76" t="s">
        <v>131</v>
      </c>
      <c r="G54" s="77"/>
      <c r="H54" s="73" t="s">
        <v>67</v>
      </c>
      <c r="I54" s="74" t="s">
        <v>130</v>
      </c>
      <c r="J54" s="134">
        <f ca="1">IFERROR(__xludf.DUMMYFUNCTION("IF(E54=F54,C54,GOOGLEFINANCE(CONCATENATE(E54,F54))*C54)"),980)</f>
        <v>980</v>
      </c>
      <c r="K54" s="135" t="s">
        <v>131</v>
      </c>
      <c r="L54" s="159">
        <f ca="1">IFERROR(__xludf.DUMMYFUNCTION("VALUE(IF(E54=""USD"",C54,IF(E54=""EUR"",C54/GOOGLEFINANCE(CONCATENATE(M54,O54)),IF(E54=F54,C54/GOOGLEFINANCE(CONCATENATE(M54,K54))))))"),6.565174429)</f>
        <v>6.5651744289999998</v>
      </c>
      <c r="M54" s="160" t="s">
        <v>86</v>
      </c>
      <c r="N54" s="131" t="s">
        <v>847</v>
      </c>
      <c r="O54" s="160" t="s">
        <v>85</v>
      </c>
    </row>
    <row r="55" spans="1:15" ht="13" x14ac:dyDescent="0.15">
      <c r="A55" s="73" t="s">
        <v>630</v>
      </c>
      <c r="B55" s="74" t="s">
        <v>631</v>
      </c>
      <c r="C55" s="78">
        <v>4.99</v>
      </c>
      <c r="D55" s="78">
        <v>7.99</v>
      </c>
      <c r="E55" s="96" t="s">
        <v>86</v>
      </c>
      <c r="F55" s="76" t="s">
        <v>336</v>
      </c>
      <c r="G55" s="77"/>
      <c r="H55" s="73" t="s">
        <v>630</v>
      </c>
      <c r="I55" s="74" t="s">
        <v>631</v>
      </c>
      <c r="J55" s="134">
        <f ca="1">IFERROR(__xludf.DUMMYFUNCTION("IF(E55=F55,C55,GOOGLEFINANCE(CONCATENATE(E55,F55))*C55)"),3.53791)</f>
        <v>3.5379100000000001</v>
      </c>
      <c r="K55" s="145" t="s">
        <v>336</v>
      </c>
      <c r="L55" s="159">
        <f ca="1">IFERROR(__xludf.DUMMYFUNCTION("VALUE(IF(E55=""USD"",C55,IF(E55=""EUR"",C55/GOOGLEFINANCE(CONCATENATE(M55,O55)),IF(E55=F55,C55/GOOGLEFINANCE(CONCATENATE(M55,K55))))))"),4.99)</f>
        <v>4.99</v>
      </c>
      <c r="M55" s="160" t="s">
        <v>86</v>
      </c>
      <c r="N55" s="131" t="s">
        <v>829</v>
      </c>
      <c r="O55" s="160" t="s">
        <v>85</v>
      </c>
    </row>
    <row r="56" spans="1:15" ht="13" x14ac:dyDescent="0.15">
      <c r="A56" s="73" t="s">
        <v>49</v>
      </c>
      <c r="B56" s="74" t="s">
        <v>132</v>
      </c>
      <c r="C56" s="78">
        <v>999</v>
      </c>
      <c r="D56" s="78">
        <v>1490</v>
      </c>
      <c r="E56" s="96" t="s">
        <v>133</v>
      </c>
      <c r="F56" s="76" t="s">
        <v>133</v>
      </c>
      <c r="G56" s="77"/>
      <c r="H56" s="73" t="s">
        <v>49</v>
      </c>
      <c r="I56" s="74" t="s">
        <v>132</v>
      </c>
      <c r="J56" s="134">
        <f ca="1">IFERROR(__xludf.DUMMYFUNCTION("IF(E56=F56,C56,GOOGLEFINANCE(CONCATENATE(E56,F56))*C56)"),999)</f>
        <v>999</v>
      </c>
      <c r="K56" s="135" t="s">
        <v>133</v>
      </c>
      <c r="L56" s="159">
        <f ca="1">IFERROR(__xludf.DUMMYFUNCTION("VALUE(IF(E56=""USD"",C56,IF(E56=""EUR"",C56/GOOGLEFINANCE(CONCATENATE(M56,O56)),IF(E56=F56,C56/GOOGLEFINANCE(CONCATENATE(M56,K56))))))"),2.131443269)</f>
        <v>2.131443269</v>
      </c>
      <c r="M56" s="160" t="s">
        <v>86</v>
      </c>
      <c r="N56" s="131" t="s">
        <v>848</v>
      </c>
      <c r="O56" s="160" t="s">
        <v>85</v>
      </c>
    </row>
    <row r="57" spans="1:15" ht="13" x14ac:dyDescent="0.15">
      <c r="A57" s="73" t="s">
        <v>635</v>
      </c>
      <c r="B57" s="74" t="s">
        <v>636</v>
      </c>
      <c r="C57" s="78">
        <v>2.99</v>
      </c>
      <c r="D57" s="78">
        <v>4.99</v>
      </c>
      <c r="E57" s="96" t="s">
        <v>86</v>
      </c>
      <c r="F57" s="76" t="s">
        <v>341</v>
      </c>
      <c r="G57" s="77"/>
      <c r="H57" s="73" t="s">
        <v>635</v>
      </c>
      <c r="I57" s="74" t="s">
        <v>636</v>
      </c>
      <c r="J57" s="134">
        <f ca="1">IFERROR(__xludf.DUMMYFUNCTION("IF(E57=F57,C57,GOOGLEFINANCE(CONCATENATE(E57,F57))*C57)"),362.5375)</f>
        <v>362.53750000000002</v>
      </c>
      <c r="K57" s="145" t="s">
        <v>341</v>
      </c>
      <c r="L57" s="159">
        <f ca="1">IFERROR(__xludf.DUMMYFUNCTION("VALUE(IF(E57=""USD"",C57,IF(E57=""EUR"",C57/GOOGLEFINANCE(CONCATENATE(M57,O57)),IF(E57=F57,C57/GOOGLEFINANCE(CONCATENATE(M57,K57))))))"),2.99)</f>
        <v>2.99</v>
      </c>
      <c r="M57" s="160" t="s">
        <v>86</v>
      </c>
      <c r="N57" s="131" t="s">
        <v>832</v>
      </c>
      <c r="O57" s="160" t="s">
        <v>85</v>
      </c>
    </row>
    <row r="58" spans="1:15" ht="13" x14ac:dyDescent="0.15">
      <c r="A58" s="73" t="s">
        <v>647</v>
      </c>
      <c r="B58" s="74" t="s">
        <v>648</v>
      </c>
      <c r="C58" s="78">
        <v>4.99</v>
      </c>
      <c r="D58" s="78">
        <v>7.99</v>
      </c>
      <c r="E58" s="96" t="s">
        <v>86</v>
      </c>
      <c r="F58" s="76" t="s">
        <v>352</v>
      </c>
      <c r="G58" s="77"/>
      <c r="H58" s="73" t="s">
        <v>647</v>
      </c>
      <c r="I58" s="74" t="s">
        <v>648</v>
      </c>
      <c r="J58" s="134">
        <f ca="1">IFERROR(__xludf.DUMMYFUNCTION("IF(E58=F58,C58,GOOGLEFINANCE(CONCATENATE(E58,F58))*C58)"),1.5485966)</f>
        <v>1.5485966</v>
      </c>
      <c r="K58" s="145" t="s">
        <v>352</v>
      </c>
      <c r="L58" s="159">
        <f ca="1">IFERROR(__xludf.DUMMYFUNCTION("VALUE(IF(E58=""USD"",C58,IF(E58=""EUR"",C58/GOOGLEFINANCE(CONCATENATE(M58,O58)),IF(E58=F58,C58/GOOGLEFINANCE(CONCATENATE(M58,K58))))))"),4.99)</f>
        <v>4.99</v>
      </c>
      <c r="M58" s="160" t="s">
        <v>86</v>
      </c>
      <c r="N58" s="131" t="s">
        <v>829</v>
      </c>
      <c r="O58" s="160" t="s">
        <v>85</v>
      </c>
    </row>
    <row r="59" spans="1:15" ht="13" x14ac:dyDescent="0.15">
      <c r="A59" s="73" t="s">
        <v>640</v>
      </c>
      <c r="B59" s="74" t="s">
        <v>641</v>
      </c>
      <c r="C59" s="78">
        <v>4.99</v>
      </c>
      <c r="D59" s="78">
        <v>7.99</v>
      </c>
      <c r="E59" s="96" t="s">
        <v>86</v>
      </c>
      <c r="F59" s="76" t="s">
        <v>344</v>
      </c>
      <c r="G59" s="77"/>
      <c r="H59" s="73" t="s">
        <v>640</v>
      </c>
      <c r="I59" s="74" t="s">
        <v>641</v>
      </c>
      <c r="J59" s="134">
        <f ca="1">IFERROR(__xludf.DUMMYFUNCTION("IF(E59=F59,C59,GOOGLEFINANCE(CONCATENATE(E59,F59))*C59)"),412.240866)</f>
        <v>412.24086599999998</v>
      </c>
      <c r="K59" s="145" t="s">
        <v>344</v>
      </c>
      <c r="L59" s="159">
        <f ca="1">IFERROR(__xludf.DUMMYFUNCTION("VALUE(IF(E59=""USD"",C59,IF(E59=""EUR"",C59/GOOGLEFINANCE(CONCATENATE(M59,O59)),IF(E59=F59,C59/GOOGLEFINANCE(CONCATENATE(M59,K59))))))"),4.99)</f>
        <v>4.99</v>
      </c>
      <c r="M59" s="160" t="s">
        <v>86</v>
      </c>
      <c r="N59" s="131" t="s">
        <v>829</v>
      </c>
      <c r="O59" s="160" t="s">
        <v>85</v>
      </c>
    </row>
    <row r="60" spans="1:15" ht="13" x14ac:dyDescent="0.15">
      <c r="A60" s="73" t="s">
        <v>650</v>
      </c>
      <c r="B60" s="74" t="s">
        <v>651</v>
      </c>
      <c r="C60" s="78">
        <v>5.99</v>
      </c>
      <c r="D60" s="78">
        <v>8.99</v>
      </c>
      <c r="E60" s="96" t="s">
        <v>86</v>
      </c>
      <c r="F60" s="76" t="s">
        <v>357</v>
      </c>
      <c r="G60" s="77"/>
      <c r="H60" s="73" t="s">
        <v>650</v>
      </c>
      <c r="I60" s="74" t="s">
        <v>651</v>
      </c>
      <c r="J60" s="134">
        <f ca="1">IFERROR(__xludf.DUMMYFUNCTION("IF(E60=F60,C60,GOOGLEFINANCE(CONCATENATE(E60,F60))*C60)"),102673.5717)</f>
        <v>102673.5717</v>
      </c>
      <c r="K60" s="145" t="s">
        <v>357</v>
      </c>
      <c r="L60" s="159">
        <f ca="1">IFERROR(__xludf.DUMMYFUNCTION("VALUE(IF(E60=""USD"",C60,IF(E60=""EUR"",C60/GOOGLEFINANCE(CONCATENATE(M60,O60)),IF(E60=F60,C60/GOOGLEFINANCE(CONCATENATE(M60,K60))))))"),5.99)</f>
        <v>5.99</v>
      </c>
      <c r="M60" s="160" t="s">
        <v>86</v>
      </c>
      <c r="N60" s="131" t="s">
        <v>827</v>
      </c>
      <c r="O60" s="160" t="s">
        <v>85</v>
      </c>
    </row>
    <row r="61" spans="1:15" ht="13" x14ac:dyDescent="0.15">
      <c r="A61" s="73" t="s">
        <v>44</v>
      </c>
      <c r="B61" s="74" t="s">
        <v>134</v>
      </c>
      <c r="C61" s="78">
        <v>6.99</v>
      </c>
      <c r="D61" s="78">
        <v>10.99</v>
      </c>
      <c r="E61" s="96" t="s">
        <v>85</v>
      </c>
      <c r="F61" s="76" t="s">
        <v>85</v>
      </c>
      <c r="G61" s="77"/>
      <c r="H61" s="73" t="s">
        <v>44</v>
      </c>
      <c r="I61" s="74" t="s">
        <v>134</v>
      </c>
      <c r="J61" s="134">
        <f ca="1">IFERROR(__xludf.DUMMYFUNCTION("IF(E61=F61,C61,GOOGLEFINANCE(CONCATENATE(E61,F61))*C61)"),6.99)</f>
        <v>6.99</v>
      </c>
      <c r="K61" s="135" t="s">
        <v>85</v>
      </c>
      <c r="L61" s="159">
        <f ca="1">IFERROR(__xludf.DUMMYFUNCTION("VALUE(IF(E61=""USD"",C61,IF(E61=""EUR"",C61/GOOGLEFINANCE(CONCATENATE(M61,O61)),IF(E61=F61,C61/GOOGLEFINANCE(CONCATENATE(M61,K61))))))"),6.877382856)</f>
        <v>6.8773828559999997</v>
      </c>
      <c r="M61" s="160" t="s">
        <v>86</v>
      </c>
      <c r="N61" s="131" t="s">
        <v>841</v>
      </c>
      <c r="O61" s="160" t="s">
        <v>85</v>
      </c>
    </row>
    <row r="62" spans="1:15" ht="13" x14ac:dyDescent="0.15">
      <c r="A62" s="73" t="s">
        <v>43</v>
      </c>
      <c r="B62" s="74" t="s">
        <v>135</v>
      </c>
      <c r="C62" s="78">
        <v>6.99</v>
      </c>
      <c r="D62" s="78">
        <v>10.99</v>
      </c>
      <c r="E62" s="96" t="s">
        <v>85</v>
      </c>
      <c r="F62" s="76" t="s">
        <v>85</v>
      </c>
      <c r="G62" s="77"/>
      <c r="H62" s="73" t="s">
        <v>43</v>
      </c>
      <c r="I62" s="74" t="s">
        <v>135</v>
      </c>
      <c r="J62" s="134">
        <f ca="1">IFERROR(__xludf.DUMMYFUNCTION("IF(E62=F62,C62,GOOGLEFINANCE(CONCATENATE(E62,F62))*C62)"),6.99)</f>
        <v>6.99</v>
      </c>
      <c r="K62" s="135" t="s">
        <v>85</v>
      </c>
      <c r="L62" s="159">
        <f ca="1">IFERROR(__xludf.DUMMYFUNCTION("VALUE(IF(E62=""USD"",C62,IF(E62=""EUR"",C62/GOOGLEFINANCE(CONCATENATE(M62,O62)),IF(E62=F62,C62/GOOGLEFINANCE(CONCATENATE(M62,K62))))))"),6.877382856)</f>
        <v>6.8773828559999997</v>
      </c>
      <c r="M62" s="160" t="s">
        <v>86</v>
      </c>
      <c r="N62" s="131" t="s">
        <v>841</v>
      </c>
      <c r="O62" s="160" t="s">
        <v>85</v>
      </c>
    </row>
    <row r="63" spans="1:15" ht="13" x14ac:dyDescent="0.15">
      <c r="A63" s="73" t="s">
        <v>653</v>
      </c>
      <c r="B63" s="74" t="s">
        <v>654</v>
      </c>
      <c r="C63" s="78">
        <v>9.99</v>
      </c>
      <c r="D63" s="78">
        <v>14.99</v>
      </c>
      <c r="E63" s="96" t="s">
        <v>85</v>
      </c>
      <c r="F63" s="76" t="s">
        <v>85</v>
      </c>
      <c r="G63" s="77"/>
      <c r="H63" s="73" t="s">
        <v>653</v>
      </c>
      <c r="I63" s="74" t="s">
        <v>654</v>
      </c>
      <c r="J63" s="134">
        <f ca="1">IFERROR(__xludf.DUMMYFUNCTION("IF(E63=F63,C63,GOOGLEFINANCE(CONCATENATE(E63,F63))*C63)"),9.99)</f>
        <v>9.99</v>
      </c>
      <c r="K63" s="135" t="s">
        <v>85</v>
      </c>
      <c r="L63" s="159">
        <f ca="1">IFERROR(__xludf.DUMMYFUNCTION("VALUE(IF(E63=""USD"",C63,IF(E63=""EUR"",C63/GOOGLEFINANCE(CONCATENATE(M63,O63)),IF(E63=F63,C63/GOOGLEFINANCE(CONCATENATE(M63,K63))))))"),9.829049317)</f>
        <v>9.8290493170000008</v>
      </c>
      <c r="M63" s="160" t="s">
        <v>86</v>
      </c>
      <c r="N63" s="131" t="s">
        <v>523</v>
      </c>
      <c r="O63" s="160" t="s">
        <v>85</v>
      </c>
    </row>
    <row r="64" spans="1:15" ht="13" x14ac:dyDescent="0.15">
      <c r="A64" s="73" t="s">
        <v>655</v>
      </c>
      <c r="B64" s="74" t="s">
        <v>656</v>
      </c>
      <c r="C64" s="78">
        <v>2.99</v>
      </c>
      <c r="D64" s="78">
        <v>4.99</v>
      </c>
      <c r="E64" s="96" t="s">
        <v>86</v>
      </c>
      <c r="F64" s="76" t="s">
        <v>381</v>
      </c>
      <c r="G64" s="77"/>
      <c r="H64" s="73" t="s">
        <v>655</v>
      </c>
      <c r="I64" s="74" t="s">
        <v>656</v>
      </c>
      <c r="J64" s="134">
        <f ca="1">IFERROR(__xludf.DUMMYFUNCTION("IF(E64=F64,C64,GOOGLEFINANCE(CONCATENATE(E64,F64))*C64)"),12640.11736)</f>
        <v>12640.11736</v>
      </c>
      <c r="K64" s="145" t="s">
        <v>381</v>
      </c>
      <c r="L64" s="159">
        <f ca="1">IFERROR(__xludf.DUMMYFUNCTION("VALUE(IF(E64=""USD"",C64,IF(E64=""EUR"",C64/GOOGLEFINANCE(CONCATENATE(M64,O64)),IF(E64=F64,C64/GOOGLEFINANCE(CONCATENATE(M64,K64))))))"),2.99)</f>
        <v>2.99</v>
      </c>
      <c r="M64" s="160" t="s">
        <v>86</v>
      </c>
      <c r="N64" s="131" t="s">
        <v>832</v>
      </c>
      <c r="O64" s="160" t="s">
        <v>85</v>
      </c>
    </row>
    <row r="65" spans="1:15" ht="13" x14ac:dyDescent="0.15">
      <c r="A65" s="73" t="s">
        <v>73</v>
      </c>
      <c r="B65" s="74" t="s">
        <v>136</v>
      </c>
      <c r="C65" s="78">
        <v>14.9</v>
      </c>
      <c r="D65" s="78">
        <v>22.9</v>
      </c>
      <c r="E65" s="96" t="s">
        <v>137</v>
      </c>
      <c r="F65" s="76" t="s">
        <v>137</v>
      </c>
      <c r="G65" s="77"/>
      <c r="H65" s="73" t="s">
        <v>73</v>
      </c>
      <c r="I65" s="74" t="s">
        <v>136</v>
      </c>
      <c r="J65" s="134">
        <f ca="1">IFERROR(__xludf.DUMMYFUNCTION("IF(E65=F65,C65,GOOGLEFINANCE(CONCATENATE(E65,F65))*C65)"),14.9)</f>
        <v>14.9</v>
      </c>
      <c r="K65" s="135" t="s">
        <v>137</v>
      </c>
      <c r="L65" s="159">
        <f ca="1">IFERROR(__xludf.DUMMYFUNCTION("VALUE(IF(E65=""USD"",C65,IF(E65=""EUR"",C65/GOOGLEFINANCE(CONCATENATE(M65,O65)),IF(E65=F65,C65/GOOGLEFINANCE(CONCATENATE(M65,K65))))))"),3.14478683)</f>
        <v>3.1447868300000001</v>
      </c>
      <c r="M65" s="160" t="s">
        <v>86</v>
      </c>
      <c r="N65" s="131" t="s">
        <v>849</v>
      </c>
      <c r="O65" s="160" t="s">
        <v>85</v>
      </c>
    </row>
    <row r="66" spans="1:15" ht="13" x14ac:dyDescent="0.15">
      <c r="A66" s="73" t="s">
        <v>657</v>
      </c>
      <c r="B66" s="74" t="s">
        <v>385</v>
      </c>
      <c r="C66" s="78">
        <v>6.99</v>
      </c>
      <c r="D66" s="78">
        <v>10.99</v>
      </c>
      <c r="E66" s="96" t="s">
        <v>85</v>
      </c>
      <c r="F66" s="76" t="s">
        <v>85</v>
      </c>
      <c r="G66" s="77"/>
      <c r="H66" s="73" t="s">
        <v>657</v>
      </c>
      <c r="I66" s="74" t="s">
        <v>385</v>
      </c>
      <c r="J66" s="134">
        <f ca="1">IFERROR(__xludf.DUMMYFUNCTION("IF(E66=F66,C66,GOOGLEFINANCE(CONCATENATE(E66,F66))*C66)"),6.99)</f>
        <v>6.99</v>
      </c>
      <c r="K66" s="135" t="s">
        <v>85</v>
      </c>
      <c r="L66" s="159">
        <f ca="1">IFERROR(__xludf.DUMMYFUNCTION("VALUE(IF(E66=""USD"",C66,IF(E66=""EUR"",C66/GOOGLEFINANCE(CONCATENATE(M66,O66)),IF(E66=F66,C66/GOOGLEFINANCE(CONCATENATE(M66,K66))))))"),6.877382856)</f>
        <v>6.8773828559999997</v>
      </c>
      <c r="M66" s="160" t="s">
        <v>86</v>
      </c>
      <c r="N66" s="131" t="s">
        <v>841</v>
      </c>
      <c r="O66" s="160" t="s">
        <v>85</v>
      </c>
    </row>
    <row r="67" spans="1:15" ht="13" x14ac:dyDescent="0.15">
      <c r="A67" s="73" t="s">
        <v>658</v>
      </c>
      <c r="B67" s="74" t="s">
        <v>387</v>
      </c>
      <c r="C67" s="78">
        <v>2.99</v>
      </c>
      <c r="D67" s="78">
        <v>4.99</v>
      </c>
      <c r="E67" s="96" t="s">
        <v>86</v>
      </c>
      <c r="F67" s="76" t="s">
        <v>388</v>
      </c>
      <c r="G67" s="77"/>
      <c r="H67" s="73" t="s">
        <v>658</v>
      </c>
      <c r="I67" s="74" t="s">
        <v>387</v>
      </c>
      <c r="J67" s="134">
        <f ca="1">IFERROR(__xludf.DUMMYFUNCTION("IF(E67=F67,C67,GOOGLEFINANCE(CONCATENATE(E67,F67))*C67)"),132.3012808)</f>
        <v>132.3012808</v>
      </c>
      <c r="K67" s="145" t="s">
        <v>388</v>
      </c>
      <c r="L67" s="159">
        <f ca="1">IFERROR(__xludf.DUMMYFUNCTION("VALUE(IF(E67=""USD"",C67,IF(E67=""EUR"",C67/GOOGLEFINANCE(CONCATENATE(M67,O67)),IF(E67=F67,C67/GOOGLEFINANCE(CONCATENATE(M67,K67))))))"),2.99)</f>
        <v>2.99</v>
      </c>
      <c r="M67" s="160" t="s">
        <v>86</v>
      </c>
      <c r="N67" s="131" t="s">
        <v>832</v>
      </c>
      <c r="O67" s="160" t="s">
        <v>85</v>
      </c>
    </row>
    <row r="68" spans="1:15" ht="13" x14ac:dyDescent="0.15">
      <c r="A68" s="73" t="s">
        <v>58</v>
      </c>
      <c r="B68" s="74" t="s">
        <v>138</v>
      </c>
      <c r="C68" s="78">
        <v>115</v>
      </c>
      <c r="D68" s="78">
        <v>179</v>
      </c>
      <c r="E68" s="96" t="s">
        <v>139</v>
      </c>
      <c r="F68" s="76" t="s">
        <v>139</v>
      </c>
      <c r="G68" s="77"/>
      <c r="H68" s="73" t="s">
        <v>58</v>
      </c>
      <c r="I68" s="74" t="s">
        <v>138</v>
      </c>
      <c r="J68" s="134">
        <f ca="1">IFERROR(__xludf.DUMMYFUNCTION("IF(E68=F68,C68,GOOGLEFINANCE(CONCATENATE(E68,F68))*C68)"),115)</f>
        <v>115</v>
      </c>
      <c r="K68" s="135" t="s">
        <v>139</v>
      </c>
      <c r="L68" s="159">
        <f ca="1">IFERROR(__xludf.DUMMYFUNCTION("VALUE(IF(E68=""USD"",C68,IF(E68=""EUR"",C68/GOOGLEFINANCE(CONCATENATE(M68,O68)),IF(E68=F68,C68/GOOGLEFINANCE(CONCATENATE(M68,K68))))))"),5.759872421)</f>
        <v>5.7598724209999999</v>
      </c>
      <c r="M68" s="160" t="s">
        <v>86</v>
      </c>
      <c r="N68" s="131" t="s">
        <v>850</v>
      </c>
      <c r="O68" s="160" t="s">
        <v>85</v>
      </c>
    </row>
    <row r="69" spans="1:15" ht="13" x14ac:dyDescent="0.15">
      <c r="A69" s="73" t="s">
        <v>51</v>
      </c>
      <c r="B69" s="74" t="s">
        <v>140</v>
      </c>
      <c r="C69" s="78">
        <v>4.99</v>
      </c>
      <c r="D69" s="78">
        <v>7.99</v>
      </c>
      <c r="E69" s="96" t="s">
        <v>86</v>
      </c>
      <c r="F69" s="76" t="s">
        <v>141</v>
      </c>
      <c r="G69" s="77"/>
      <c r="H69" s="73" t="s">
        <v>51</v>
      </c>
      <c r="I69" s="74" t="s">
        <v>140</v>
      </c>
      <c r="J69" s="134">
        <f ca="1">IFERROR(__xludf.DUMMYFUNCTION("IF(E69=F69,C69,GOOGLEFINANCE(CONCATENATE(E69,F69))*C69)"),95.872371)</f>
        <v>95.872371000000001</v>
      </c>
      <c r="K69" s="145" t="s">
        <v>141</v>
      </c>
      <c r="L69" s="159">
        <f ca="1">IFERROR(__xludf.DUMMYFUNCTION("VALUE(IF(E69=""USD"",C69,IF(E69=""EUR"",C69/GOOGLEFINANCE(CONCATENATE(M69,O69)),IF(E69=F69,C69/GOOGLEFINANCE(CONCATENATE(M69,K69))))))"),4.99)</f>
        <v>4.99</v>
      </c>
      <c r="M69" s="160" t="s">
        <v>86</v>
      </c>
      <c r="N69" s="131" t="s">
        <v>829</v>
      </c>
      <c r="O69" s="160" t="s">
        <v>85</v>
      </c>
    </row>
    <row r="70" spans="1:15" ht="13" x14ac:dyDescent="0.15">
      <c r="A70" s="73" t="s">
        <v>55</v>
      </c>
      <c r="B70" s="74" t="s">
        <v>142</v>
      </c>
      <c r="C70" s="78">
        <v>4.99</v>
      </c>
      <c r="D70" s="78">
        <v>7.99</v>
      </c>
      <c r="E70" s="96" t="s">
        <v>85</v>
      </c>
      <c r="F70" s="76" t="s">
        <v>85</v>
      </c>
      <c r="G70" s="77"/>
      <c r="H70" s="73" t="s">
        <v>55</v>
      </c>
      <c r="I70" s="74" t="s">
        <v>142</v>
      </c>
      <c r="J70" s="134">
        <f ca="1">IFERROR(__xludf.DUMMYFUNCTION("IF(E70=F70,C70,GOOGLEFINANCE(CONCATENATE(E70,F70))*C70)"),4.99)</f>
        <v>4.99</v>
      </c>
      <c r="K70" s="135" t="s">
        <v>85</v>
      </c>
      <c r="L70" s="159">
        <f ca="1">IFERROR(__xludf.DUMMYFUNCTION("VALUE(IF(E70=""USD"",C70,IF(E70=""EUR"",C70/GOOGLEFINANCE(CONCATENATE(M70,O70)),IF(E70=F70,C70/GOOGLEFINANCE(CONCATENATE(M70,K70))))))"),4.909605215)</f>
        <v>4.909605215</v>
      </c>
      <c r="M70" s="160" t="s">
        <v>86</v>
      </c>
      <c r="N70" s="131" t="s">
        <v>851</v>
      </c>
      <c r="O70" s="160" t="s">
        <v>85</v>
      </c>
    </row>
    <row r="71" spans="1:15" ht="13" x14ac:dyDescent="0.15">
      <c r="A71" s="73" t="s">
        <v>665</v>
      </c>
      <c r="B71" s="74" t="s">
        <v>666</v>
      </c>
      <c r="C71" s="78">
        <v>2.99</v>
      </c>
      <c r="D71" s="78">
        <v>4.99</v>
      </c>
      <c r="E71" s="96" t="s">
        <v>86</v>
      </c>
      <c r="F71" s="76" t="s">
        <v>667</v>
      </c>
      <c r="G71" s="77"/>
      <c r="H71" s="73" t="s">
        <v>665</v>
      </c>
      <c r="I71" s="74" t="s">
        <v>666</v>
      </c>
      <c r="J71" s="134">
        <f ca="1">IFERROR(__xludf.DUMMYFUNCTION("IF(E71=F71,C71,GOOGLEFINANCE(CONCATENATE(E71,F71))*C71)"),190.8517)</f>
        <v>190.85169999999999</v>
      </c>
      <c r="K71" s="145" t="s">
        <v>667</v>
      </c>
      <c r="L71" s="159">
        <f ca="1">IFERROR(__xludf.DUMMYFUNCTION("VALUE(IF(E71=""USD"",C71,IF(E71=""EUR"",C71/GOOGLEFINANCE(CONCATENATE(M71,O71)),IF(E71=F71,C71/GOOGLEFINANCE(CONCATENATE(M71,K71))))))"),2.99)</f>
        <v>2.99</v>
      </c>
      <c r="M71" s="160" t="s">
        <v>86</v>
      </c>
      <c r="N71" s="131" t="s">
        <v>832</v>
      </c>
      <c r="O71" s="160" t="s">
        <v>85</v>
      </c>
    </row>
    <row r="72" spans="1:15" ht="13" x14ac:dyDescent="0.15">
      <c r="A72" s="73" t="s">
        <v>668</v>
      </c>
      <c r="B72" s="74" t="s">
        <v>394</v>
      </c>
      <c r="C72" s="218" t="s">
        <v>826</v>
      </c>
      <c r="D72" s="199"/>
      <c r="E72" s="139"/>
      <c r="F72" s="139" t="s">
        <v>395</v>
      </c>
      <c r="G72" s="77"/>
      <c r="H72" s="136" t="s">
        <v>668</v>
      </c>
      <c r="I72" s="137" t="s">
        <v>394</v>
      </c>
      <c r="J72" s="142"/>
      <c r="K72" s="143" t="s">
        <v>395</v>
      </c>
      <c r="L72" s="157"/>
      <c r="M72" s="158"/>
      <c r="N72" s="138"/>
      <c r="O72" s="158"/>
    </row>
    <row r="73" spans="1:15" ht="13" x14ac:dyDescent="0.15">
      <c r="A73" s="73" t="s">
        <v>39</v>
      </c>
      <c r="B73" s="74" t="s">
        <v>143</v>
      </c>
      <c r="C73" s="78">
        <v>9.99</v>
      </c>
      <c r="D73" s="78">
        <v>14.99</v>
      </c>
      <c r="E73" s="96" t="s">
        <v>85</v>
      </c>
      <c r="F73" s="76" t="s">
        <v>85</v>
      </c>
      <c r="G73" s="77"/>
      <c r="H73" s="73" t="s">
        <v>39</v>
      </c>
      <c r="I73" s="74" t="s">
        <v>143</v>
      </c>
      <c r="J73" s="134">
        <f ca="1">IFERROR(__xludf.DUMMYFUNCTION("IF(E73=F73,C73,GOOGLEFINANCE(CONCATENATE(E73,F73))*C73)"),9.99)</f>
        <v>9.99</v>
      </c>
      <c r="K73" s="135" t="s">
        <v>85</v>
      </c>
      <c r="L73" s="159">
        <f ca="1">IFERROR(__xludf.DUMMYFUNCTION("VALUE(IF(E73=""USD"",C73,IF(E73=""EUR"",C73/GOOGLEFINANCE(CONCATENATE(M73,O73)),IF(E73=F73,C73/GOOGLEFINANCE(CONCATENATE(M73,K73))))))"),9.829049317)</f>
        <v>9.8290493170000008</v>
      </c>
      <c r="M73" s="160" t="s">
        <v>86</v>
      </c>
      <c r="N73" s="131" t="s">
        <v>523</v>
      </c>
      <c r="O73" s="160" t="s">
        <v>85</v>
      </c>
    </row>
    <row r="74" spans="1:15" ht="13" x14ac:dyDescent="0.15">
      <c r="A74" s="73" t="s">
        <v>48</v>
      </c>
      <c r="B74" s="74" t="s">
        <v>144</v>
      </c>
      <c r="C74" s="78">
        <v>14.99</v>
      </c>
      <c r="D74" s="78">
        <v>22.99</v>
      </c>
      <c r="E74" s="96" t="s">
        <v>145</v>
      </c>
      <c r="F74" s="76" t="s">
        <v>145</v>
      </c>
      <c r="G74" s="77"/>
      <c r="H74" s="73" t="s">
        <v>48</v>
      </c>
      <c r="I74" s="74" t="s">
        <v>144</v>
      </c>
      <c r="J74" s="134">
        <f ca="1">IFERROR(__xludf.DUMMYFUNCTION("IF(E74=F74,C74,GOOGLEFINANCE(CONCATENATE(E74,F74))*C74)"),14.99)</f>
        <v>14.99</v>
      </c>
      <c r="K74" s="135" t="s">
        <v>145</v>
      </c>
      <c r="L74" s="159">
        <f ca="1">IFERROR(__xludf.DUMMYFUNCTION("VALUE(IF(E74=""USD"",C74,IF(E74=""EUR"",C74/GOOGLEFINANCE(CONCATENATE(M74,O74)),IF(E74=F74,C74/GOOGLEFINANCE(CONCATENATE(M74,K74))))))"),8.57629989)</f>
        <v>8.5762998899999996</v>
      </c>
      <c r="M74" s="160" t="s">
        <v>86</v>
      </c>
      <c r="N74" s="131" t="s">
        <v>852</v>
      </c>
      <c r="O74" s="160" t="s">
        <v>85</v>
      </c>
    </row>
    <row r="75" spans="1:15" ht="13" x14ac:dyDescent="0.15">
      <c r="A75" s="73" t="s">
        <v>672</v>
      </c>
      <c r="B75" s="74" t="s">
        <v>673</v>
      </c>
      <c r="C75" s="78">
        <v>5.99</v>
      </c>
      <c r="D75" s="78">
        <v>8.99</v>
      </c>
      <c r="E75" s="96" t="s">
        <v>86</v>
      </c>
      <c r="F75" s="76" t="s">
        <v>399</v>
      </c>
      <c r="G75" s="77"/>
      <c r="H75" s="73" t="s">
        <v>672</v>
      </c>
      <c r="I75" s="74" t="s">
        <v>673</v>
      </c>
      <c r="J75" s="134">
        <f ca="1">IFERROR(__xludf.DUMMYFUNCTION("IF(E75=F75,C75,GOOGLEFINANCE(CONCATENATE(E75,F75))*C75)"),213.3816502)</f>
        <v>213.3816502</v>
      </c>
      <c r="K75" s="145" t="s">
        <v>399</v>
      </c>
      <c r="L75" s="159">
        <f ca="1">IFERROR(__xludf.DUMMYFUNCTION("VALUE(IF(E75=""USD"",C75,IF(E75=""EUR"",C75/GOOGLEFINANCE(CONCATENATE(M75,O75)),IF(E75=F75,C75/GOOGLEFINANCE(CONCATENATE(M75,K75))))))"),5.99)</f>
        <v>5.99</v>
      </c>
      <c r="M75" s="160" t="s">
        <v>86</v>
      </c>
      <c r="N75" s="131" t="s">
        <v>827</v>
      </c>
      <c r="O75" s="160" t="s">
        <v>85</v>
      </c>
    </row>
    <row r="76" spans="1:15" ht="13" x14ac:dyDescent="0.15">
      <c r="A76" s="73" t="s">
        <v>66</v>
      </c>
      <c r="B76" s="74" t="s">
        <v>146</v>
      </c>
      <c r="C76" s="78">
        <v>900</v>
      </c>
      <c r="D76" s="78">
        <v>1400</v>
      </c>
      <c r="E76" s="96" t="s">
        <v>147</v>
      </c>
      <c r="F76" s="76" t="s">
        <v>147</v>
      </c>
      <c r="G76" s="77"/>
      <c r="H76" s="73" t="s">
        <v>66</v>
      </c>
      <c r="I76" s="74" t="s">
        <v>146</v>
      </c>
      <c r="J76" s="134">
        <f ca="1">IFERROR(__xludf.DUMMYFUNCTION("IF(E76=F76,C76,GOOGLEFINANCE(CONCATENATE(E76,F76))*C76)"),900)</f>
        <v>900</v>
      </c>
      <c r="K76" s="135" t="s">
        <v>147</v>
      </c>
      <c r="L76" s="159">
        <f ca="1">IFERROR(__xludf.DUMMYFUNCTION("VALUE(IF(E76=""USD"",C76,IF(E76=""EUR"",C76/GOOGLEFINANCE(CONCATENATE(M76,O76)),IF(E76=F76,C76/GOOGLEFINANCE(CONCATENATE(M76,K76))))))"),2.043132804)</f>
        <v>2.0431328039999999</v>
      </c>
      <c r="M76" s="160" t="s">
        <v>86</v>
      </c>
      <c r="N76" s="131" t="s">
        <v>853</v>
      </c>
      <c r="O76" s="160" t="s">
        <v>85</v>
      </c>
    </row>
    <row r="77" spans="1:15" ht="13" x14ac:dyDescent="0.15">
      <c r="A77" s="73" t="s">
        <v>56</v>
      </c>
      <c r="B77" s="74" t="s">
        <v>148</v>
      </c>
      <c r="C77" s="78">
        <v>5.99</v>
      </c>
      <c r="D77" s="78">
        <v>8.99</v>
      </c>
      <c r="E77" s="96" t="s">
        <v>86</v>
      </c>
      <c r="F77" s="76" t="s">
        <v>149</v>
      </c>
      <c r="G77" s="77"/>
      <c r="H77" s="73" t="s">
        <v>56</v>
      </c>
      <c r="I77" s="74" t="s">
        <v>148</v>
      </c>
      <c r="J77" s="134">
        <f ca="1">IFERROR(__xludf.DUMMYFUNCTION("IF(E77=F77,C77,GOOGLEFINANCE(CONCATENATE(E77,F77))*C77)"),374.8788788)</f>
        <v>374.8788788</v>
      </c>
      <c r="K77" s="145" t="s">
        <v>149</v>
      </c>
      <c r="L77" s="159">
        <f ca="1">IFERROR(__xludf.DUMMYFUNCTION("VALUE(IF(E77=""USD"",C77,IF(E77=""EUR"",C77/GOOGLEFINANCE(CONCATENATE(M77,O77)),IF(E77=F77,C77/GOOGLEFINANCE(CONCATENATE(M77,K77))))))"),5.99)</f>
        <v>5.99</v>
      </c>
      <c r="M77" s="160" t="s">
        <v>86</v>
      </c>
      <c r="N77" s="131" t="s">
        <v>827</v>
      </c>
      <c r="O77" s="160" t="s">
        <v>85</v>
      </c>
    </row>
    <row r="78" spans="1:15" ht="13" x14ac:dyDescent="0.15">
      <c r="A78" s="73" t="s">
        <v>35</v>
      </c>
      <c r="B78" s="74" t="s">
        <v>150</v>
      </c>
      <c r="C78" s="78">
        <v>119</v>
      </c>
      <c r="D78" s="78">
        <v>189</v>
      </c>
      <c r="E78" s="96" t="s">
        <v>151</v>
      </c>
      <c r="F78" s="76" t="s">
        <v>151</v>
      </c>
      <c r="G78" s="77"/>
      <c r="H78" s="73" t="s">
        <v>35</v>
      </c>
      <c r="I78" s="74" t="s">
        <v>150</v>
      </c>
      <c r="J78" s="134">
        <f ca="1">IFERROR(__xludf.DUMMYFUNCTION("IF(E78=F78,C78,GOOGLEFINANCE(CONCATENATE(E78,F78))*C78)"),119)</f>
        <v>119</v>
      </c>
      <c r="K78" s="135" t="s">
        <v>151</v>
      </c>
      <c r="L78" s="159">
        <f ca="1">IFERROR(__xludf.DUMMYFUNCTION("VALUE(IF(E78=""USD"",C78,IF(E78=""EUR"",C78/GOOGLEFINANCE(CONCATENATE(M78,O78)),IF(E78=F78,C78/GOOGLEFINANCE(CONCATENATE(M78,K78))))))"),11.24646776)</f>
        <v>11.24646776</v>
      </c>
      <c r="M78" s="160" t="s">
        <v>86</v>
      </c>
      <c r="N78" s="131" t="s">
        <v>854</v>
      </c>
      <c r="O78" s="160" t="s">
        <v>85</v>
      </c>
    </row>
    <row r="79" spans="1:15" ht="13" x14ac:dyDescent="0.15">
      <c r="A79" s="73" t="s">
        <v>680</v>
      </c>
      <c r="B79" s="74" t="s">
        <v>410</v>
      </c>
      <c r="C79" s="78">
        <v>4.99</v>
      </c>
      <c r="D79" s="78">
        <v>7.99</v>
      </c>
      <c r="E79" s="96" t="s">
        <v>86</v>
      </c>
      <c r="F79" s="76" t="s">
        <v>411</v>
      </c>
      <c r="G79" s="77"/>
      <c r="H79" s="73" t="s">
        <v>680</v>
      </c>
      <c r="I79" s="74" t="s">
        <v>410</v>
      </c>
      <c r="J79" s="134">
        <f ca="1">IFERROR(__xludf.DUMMYFUNCTION("IF(E79=F79,C79,GOOGLEFINANCE(CONCATENATE(E79,F79))*C79)"),1.918420969)</f>
        <v>1.918420969</v>
      </c>
      <c r="K79" s="145" t="s">
        <v>411</v>
      </c>
      <c r="L79" s="159">
        <f ca="1">IFERROR(__xludf.DUMMYFUNCTION("VALUE(IF(E79=""USD"",C79,IF(E79=""EUR"",C79/GOOGLEFINANCE(CONCATENATE(M79,O79)),IF(E79=F79,C79/GOOGLEFINANCE(CONCATENATE(M79,K79))))))"),4.99)</f>
        <v>4.99</v>
      </c>
      <c r="M79" s="160" t="s">
        <v>86</v>
      </c>
      <c r="N79" s="131" t="s">
        <v>829</v>
      </c>
      <c r="O79" s="160" t="s">
        <v>85</v>
      </c>
    </row>
    <row r="80" spans="1:15" ht="13" x14ac:dyDescent="0.15">
      <c r="A80" s="86" t="s">
        <v>74</v>
      </c>
      <c r="B80" s="87" t="s">
        <v>152</v>
      </c>
      <c r="C80" s="128"/>
      <c r="D80" s="128"/>
      <c r="E80" s="89"/>
      <c r="F80" s="89" t="s">
        <v>153</v>
      </c>
      <c r="G80" s="77"/>
      <c r="H80" s="86" t="s">
        <v>74</v>
      </c>
      <c r="I80" s="87" t="s">
        <v>152</v>
      </c>
      <c r="J80" s="128"/>
      <c r="K80" s="129" t="s">
        <v>153</v>
      </c>
      <c r="L80" s="155"/>
      <c r="M80" s="156"/>
      <c r="N80" s="125"/>
      <c r="O80" s="156"/>
    </row>
    <row r="81" spans="1:15" ht="13" x14ac:dyDescent="0.15">
      <c r="A81" s="73" t="s">
        <v>684</v>
      </c>
      <c r="B81" s="74" t="s">
        <v>413</v>
      </c>
      <c r="C81" s="78">
        <v>5.99</v>
      </c>
      <c r="D81" s="78">
        <v>8.99</v>
      </c>
      <c r="E81" s="96" t="s">
        <v>86</v>
      </c>
      <c r="F81" s="76" t="s">
        <v>414</v>
      </c>
      <c r="G81" s="77"/>
      <c r="H81" s="73" t="s">
        <v>684</v>
      </c>
      <c r="I81" s="74" t="s">
        <v>413</v>
      </c>
      <c r="J81" s="134">
        <f ca="1">IFERROR(__xludf.DUMMYFUNCTION("IF(E81=F81,C81,GOOGLEFINANCE(CONCATENATE(E81,F81))*C81)"),5.931686751)</f>
        <v>5.931686751</v>
      </c>
      <c r="K81" s="145" t="s">
        <v>414</v>
      </c>
      <c r="L81" s="159">
        <f ca="1">IFERROR(__xludf.DUMMYFUNCTION("VALUE(IF(E81=""USD"",C81,IF(E81=""EUR"",C81/GOOGLEFINANCE(CONCATENATE(M81,O81)),IF(E81=F81,C81/GOOGLEFINANCE(CONCATENATE(M81,K81))))))"),5.99)</f>
        <v>5.99</v>
      </c>
      <c r="M81" s="160" t="s">
        <v>86</v>
      </c>
      <c r="N81" s="131" t="s">
        <v>827</v>
      </c>
      <c r="O81" s="160" t="s">
        <v>85</v>
      </c>
    </row>
    <row r="82" spans="1:15" ht="13" x14ac:dyDescent="0.15">
      <c r="A82" s="73" t="s">
        <v>702</v>
      </c>
      <c r="B82" s="74" t="s">
        <v>703</v>
      </c>
      <c r="C82" s="78">
        <v>5.99</v>
      </c>
      <c r="D82" s="78">
        <v>8.99</v>
      </c>
      <c r="E82" s="96" t="s">
        <v>86</v>
      </c>
      <c r="F82" s="76" t="s">
        <v>427</v>
      </c>
      <c r="G82" s="77"/>
      <c r="H82" s="73" t="s">
        <v>702</v>
      </c>
      <c r="I82" s="74" t="s">
        <v>703</v>
      </c>
      <c r="J82" s="134">
        <f ca="1">IFERROR(__xludf.DUMMYFUNCTION("IF(E82=F82,C82,GOOGLEFINANCE(CONCATENATE(E82,F82))*C82)"),42865.90156)</f>
        <v>42865.901559999998</v>
      </c>
      <c r="K82" s="145" t="s">
        <v>427</v>
      </c>
      <c r="L82" s="159">
        <f ca="1">IFERROR(__xludf.DUMMYFUNCTION("VALUE(IF(E82=""USD"",C82,IF(E82=""EUR"",C82/GOOGLEFINANCE(CONCATENATE(M82,O82)),IF(E82=F82,C82/GOOGLEFINANCE(CONCATENATE(M82,K82))))))"),5.99)</f>
        <v>5.99</v>
      </c>
      <c r="M82" s="160" t="s">
        <v>86</v>
      </c>
      <c r="N82" s="131" t="s">
        <v>827</v>
      </c>
      <c r="O82" s="160" t="s">
        <v>85</v>
      </c>
    </row>
    <row r="83" spans="1:15" ht="13" x14ac:dyDescent="0.15">
      <c r="A83" s="73" t="s">
        <v>63</v>
      </c>
      <c r="B83" s="74" t="s">
        <v>154</v>
      </c>
      <c r="C83" s="78">
        <v>5.99</v>
      </c>
      <c r="D83" s="78">
        <v>8.99</v>
      </c>
      <c r="E83" s="96" t="s">
        <v>86</v>
      </c>
      <c r="F83" s="76" t="s">
        <v>155</v>
      </c>
      <c r="G83" s="77"/>
      <c r="H83" s="73" t="s">
        <v>63</v>
      </c>
      <c r="I83" s="74" t="s">
        <v>154</v>
      </c>
      <c r="J83" s="134">
        <f ca="1">IFERROR(__xludf.DUMMYFUNCTION("IF(E83=F83,C83,GOOGLEFINANCE(CONCATENATE(E83,F83))*C83)"),23.64704047)</f>
        <v>23.64704047</v>
      </c>
      <c r="K83" s="145" t="s">
        <v>155</v>
      </c>
      <c r="L83" s="159">
        <f ca="1">IFERROR(__xludf.DUMMYFUNCTION("VALUE(IF(E83=""USD"",C83,IF(E83=""EUR"",C83/GOOGLEFINANCE(CONCATENATE(M83,O83)),IF(E83=F83,C83/GOOGLEFINANCE(CONCATENATE(M83,K83))))))"),5.99)</f>
        <v>5.99</v>
      </c>
      <c r="M83" s="160" t="s">
        <v>86</v>
      </c>
      <c r="N83" s="131" t="s">
        <v>827</v>
      </c>
      <c r="O83" s="160" t="s">
        <v>85</v>
      </c>
    </row>
    <row r="84" spans="1:15" ht="13" x14ac:dyDescent="0.15">
      <c r="A84" s="73" t="s">
        <v>81</v>
      </c>
      <c r="B84" s="74" t="s">
        <v>156</v>
      </c>
      <c r="C84" s="78">
        <v>129</v>
      </c>
      <c r="D84" s="78">
        <v>199</v>
      </c>
      <c r="E84" s="96" t="s">
        <v>157</v>
      </c>
      <c r="F84" s="76" t="s">
        <v>157</v>
      </c>
      <c r="G84" s="77"/>
      <c r="H84" s="73" t="s">
        <v>81</v>
      </c>
      <c r="I84" s="74" t="s">
        <v>156</v>
      </c>
      <c r="J84" s="134">
        <f ca="1">IFERROR(__xludf.DUMMYFUNCTION("IF(E84=F84,C84,GOOGLEFINANCE(CONCATENATE(E84,F84))*C84)"),129)</f>
        <v>129</v>
      </c>
      <c r="K84" s="135" t="s">
        <v>157</v>
      </c>
      <c r="L84" s="159">
        <f ca="1">IFERROR(__xludf.DUMMYFUNCTION("VALUE(IF(E84=""USD"",C84,IF(E84=""EUR"",C84/GOOGLEFINANCE(CONCATENATE(M84,O84)),IF(E84=F84,C84/GOOGLEFINANCE(CONCATENATE(M84,K84))))))"),2.186236876)</f>
        <v>2.1862368760000002</v>
      </c>
      <c r="M84" s="160" t="s">
        <v>86</v>
      </c>
      <c r="N84" s="131" t="s">
        <v>855</v>
      </c>
      <c r="O84" s="160" t="s">
        <v>85</v>
      </c>
    </row>
    <row r="85" spans="1:15" ht="13" x14ac:dyDescent="0.15">
      <c r="A85" s="73" t="s">
        <v>70</v>
      </c>
      <c r="B85" s="74" t="s">
        <v>158</v>
      </c>
      <c r="C85" s="78">
        <v>19.989999999999998</v>
      </c>
      <c r="D85" s="78">
        <v>29.99</v>
      </c>
      <c r="E85" s="96" t="s">
        <v>159</v>
      </c>
      <c r="F85" s="76" t="s">
        <v>159</v>
      </c>
      <c r="G85" s="77"/>
      <c r="H85" s="73" t="s">
        <v>70</v>
      </c>
      <c r="I85" s="74" t="s">
        <v>158</v>
      </c>
      <c r="J85" s="134">
        <f ca="1">IFERROR(__xludf.DUMMYFUNCTION("IF(E85=F85,C85,GOOGLEFINANCE(CONCATENATE(E85,F85))*C85)"),19.99)</f>
        <v>19.989999999999998</v>
      </c>
      <c r="K85" s="135" t="s">
        <v>159</v>
      </c>
      <c r="L85" s="159">
        <f ca="1">IFERROR(__xludf.DUMMYFUNCTION("VALUE(IF(E85=""USD"",C85,IF(E85=""EUR"",C85/GOOGLEFINANCE(CONCATENATE(M85,O85)),IF(E85=F85,C85/GOOGLEFINANCE(CONCATENATE(M85,K85))))))"),4.116641611)</f>
        <v>4.1166416110000004</v>
      </c>
      <c r="M85" s="160" t="s">
        <v>86</v>
      </c>
      <c r="N85" s="131" t="s">
        <v>856</v>
      </c>
      <c r="O85" s="160" t="s">
        <v>85</v>
      </c>
    </row>
    <row r="86" spans="1:15" ht="13" x14ac:dyDescent="0.15">
      <c r="A86" s="73" t="s">
        <v>45</v>
      </c>
      <c r="B86" s="74" t="s">
        <v>160</v>
      </c>
      <c r="C86" s="78">
        <v>6.99</v>
      </c>
      <c r="D86" s="78">
        <v>10.99</v>
      </c>
      <c r="E86" s="96" t="s">
        <v>85</v>
      </c>
      <c r="F86" s="76" t="s">
        <v>85</v>
      </c>
      <c r="G86" s="77"/>
      <c r="H86" s="73" t="s">
        <v>45</v>
      </c>
      <c r="I86" s="74" t="s">
        <v>160</v>
      </c>
      <c r="J86" s="134">
        <f ca="1">IFERROR(__xludf.DUMMYFUNCTION("IF(E86=F86,C86,GOOGLEFINANCE(CONCATENATE(E86,F86))*C86)"),6.99)</f>
        <v>6.99</v>
      </c>
      <c r="K86" s="135" t="s">
        <v>85</v>
      </c>
      <c r="L86" s="159">
        <f ca="1">IFERROR(__xludf.DUMMYFUNCTION("VALUE(IF(E86=""USD"",C86,IF(E86=""EUR"",C86/GOOGLEFINANCE(CONCATENATE(M86,O86)),IF(E86=F86,C86/GOOGLEFINANCE(CONCATENATE(M86,K86))))))"),6.877382856)</f>
        <v>6.8773828559999997</v>
      </c>
      <c r="M86" s="160" t="s">
        <v>86</v>
      </c>
      <c r="N86" s="131" t="s">
        <v>841</v>
      </c>
      <c r="O86" s="160" t="s">
        <v>85</v>
      </c>
    </row>
    <row r="87" spans="1:15" ht="13" x14ac:dyDescent="0.15">
      <c r="A87" s="73" t="s">
        <v>697</v>
      </c>
      <c r="B87" s="74" t="s">
        <v>698</v>
      </c>
      <c r="C87" s="78">
        <v>5.99</v>
      </c>
      <c r="D87" s="78">
        <v>8.99</v>
      </c>
      <c r="E87" s="96" t="s">
        <v>86</v>
      </c>
      <c r="F87" s="76" t="s">
        <v>86</v>
      </c>
      <c r="G87" s="77"/>
      <c r="H87" s="73" t="s">
        <v>697</v>
      </c>
      <c r="I87" s="74" t="s">
        <v>698</v>
      </c>
      <c r="J87" s="134">
        <f ca="1">IFERROR(__xludf.DUMMYFUNCTION("IF(E87=F87,C87,GOOGLEFINANCE(CONCATENATE(E87,F87))*C87)"),5.99)</f>
        <v>5.99</v>
      </c>
      <c r="K87" s="135" t="s">
        <v>86</v>
      </c>
      <c r="L87" s="159">
        <f ca="1">IFERROR(__xludf.DUMMYFUNCTION("VALUE(IF(E87=""USD"",C87,IF(E87=""EUR"",C87/GOOGLEFINANCE(CONCATENATE(M87,O87)),IF(E87=F87,C87/GOOGLEFINANCE(CONCATENATE(M87,K87))))))"),5.99)</f>
        <v>5.99</v>
      </c>
      <c r="M87" s="160" t="s">
        <v>86</v>
      </c>
      <c r="N87" s="131" t="s">
        <v>827</v>
      </c>
      <c r="O87" s="160" t="s">
        <v>85</v>
      </c>
    </row>
    <row r="88" spans="1:15" ht="13" x14ac:dyDescent="0.15">
      <c r="A88" s="73" t="s">
        <v>707</v>
      </c>
      <c r="B88" s="74" t="s">
        <v>708</v>
      </c>
      <c r="C88" s="78">
        <v>17.989999999999998</v>
      </c>
      <c r="D88" s="78">
        <v>27.99</v>
      </c>
      <c r="E88" s="96" t="s">
        <v>430</v>
      </c>
      <c r="F88" s="76" t="s">
        <v>430</v>
      </c>
      <c r="G88" s="77"/>
      <c r="H88" s="73" t="s">
        <v>707</v>
      </c>
      <c r="I88" s="74" t="s">
        <v>708</v>
      </c>
      <c r="J88" s="134">
        <f ca="1">IFERROR(__xludf.DUMMYFUNCTION("IF(E88=F88,C88,GOOGLEFINANCE(CONCATENATE(E88,F88))*C88)"),17.99)</f>
        <v>17.989999999999998</v>
      </c>
      <c r="K88" s="135" t="s">
        <v>430</v>
      </c>
      <c r="L88" s="159">
        <f ca="1">IFERROR(__xludf.DUMMYFUNCTION("VALUE(IF(E88=""USD"",C88,IF(E88=""EUR"",C88/GOOGLEFINANCE(CONCATENATE(M88,O88)),IF(E88=F88,C88/GOOGLEFINANCE(CONCATENATE(M88,K88))))))"),4.941289569)</f>
        <v>4.9412895690000003</v>
      </c>
      <c r="M88" s="160" t="s">
        <v>86</v>
      </c>
      <c r="N88" s="131" t="s">
        <v>857</v>
      </c>
      <c r="O88" s="160" t="s">
        <v>85</v>
      </c>
    </row>
    <row r="89" spans="1:15" ht="13" x14ac:dyDescent="0.15">
      <c r="A89" s="73" t="s">
        <v>64</v>
      </c>
      <c r="B89" s="74" t="s">
        <v>161</v>
      </c>
      <c r="C89" s="78">
        <v>19.989999999999998</v>
      </c>
      <c r="D89" s="78">
        <v>29.99</v>
      </c>
      <c r="E89" s="96" t="s">
        <v>162</v>
      </c>
      <c r="F89" s="76" t="s">
        <v>162</v>
      </c>
      <c r="G89" s="77"/>
      <c r="H89" s="73" t="s">
        <v>64</v>
      </c>
      <c r="I89" s="74" t="s">
        <v>161</v>
      </c>
      <c r="J89" s="134">
        <f ca="1">IFERROR(__xludf.DUMMYFUNCTION("IF(E89=F89,C89,GOOGLEFINANCE(CONCATENATE(E89,F89))*C89)"),19.99)</f>
        <v>19.989999999999998</v>
      </c>
      <c r="K89" s="135" t="s">
        <v>162</v>
      </c>
      <c r="L89" s="159">
        <f ca="1">IFERROR(__xludf.DUMMYFUNCTION("VALUE(IF(E89=""USD"",C89,IF(E89=""EUR"",C89/GOOGLEFINANCE(CONCATENATE(M89,O89)),IF(E89=F89,C89/GOOGLEFINANCE(CONCATENATE(M89,K89))))))"),4.003007763)</f>
        <v>4.0030077630000003</v>
      </c>
      <c r="M89" s="160" t="s">
        <v>86</v>
      </c>
      <c r="N89" s="131" t="s">
        <v>858</v>
      </c>
      <c r="O89" s="160" t="s">
        <v>85</v>
      </c>
    </row>
    <row r="90" spans="1:15" ht="13" x14ac:dyDescent="0.15">
      <c r="A90" s="73" t="s">
        <v>709</v>
      </c>
      <c r="B90" s="74" t="s">
        <v>710</v>
      </c>
      <c r="C90" s="78">
        <v>169</v>
      </c>
      <c r="D90" s="78">
        <v>269</v>
      </c>
      <c r="E90" s="96" t="s">
        <v>436</v>
      </c>
      <c r="F90" s="76" t="s">
        <v>436</v>
      </c>
      <c r="G90" s="77"/>
      <c r="H90" s="73" t="s">
        <v>709</v>
      </c>
      <c r="I90" s="74" t="s">
        <v>710</v>
      </c>
      <c r="J90" s="134">
        <f ca="1">IFERROR(__xludf.DUMMYFUNCTION("IF(E90=F90,C90,GOOGLEFINANCE(CONCATENATE(E90,F90))*C90)"),169)</f>
        <v>169</v>
      </c>
      <c r="K90" s="135" t="s">
        <v>436</v>
      </c>
      <c r="L90" s="159">
        <f ca="1">IFERROR(__xludf.DUMMYFUNCTION("VALUE(IF(E90=""USD"",C90,IF(E90=""EUR"",C90/GOOGLEFINANCE(CONCATENATE(M90,O90)),IF(E90=F90,C90/GOOGLEFINANCE(CONCATENATE(M90,K90))))))"),2.747721748)</f>
        <v>2.747721748</v>
      </c>
      <c r="M90" s="160" t="s">
        <v>86</v>
      </c>
      <c r="N90" s="131" t="s">
        <v>859</v>
      </c>
      <c r="O90" s="160" t="s">
        <v>85</v>
      </c>
    </row>
    <row r="91" spans="1:15" ht="13" x14ac:dyDescent="0.15">
      <c r="A91" s="73" t="s">
        <v>712</v>
      </c>
      <c r="B91" s="74" t="s">
        <v>438</v>
      </c>
      <c r="C91" s="218" t="s">
        <v>826</v>
      </c>
      <c r="D91" s="199"/>
      <c r="E91" s="139"/>
      <c r="F91" s="139" t="s">
        <v>439</v>
      </c>
      <c r="G91" s="77"/>
      <c r="H91" s="136" t="s">
        <v>712</v>
      </c>
      <c r="I91" s="137" t="s">
        <v>438</v>
      </c>
      <c r="J91" s="142"/>
      <c r="K91" s="143" t="s">
        <v>439</v>
      </c>
      <c r="L91" s="157"/>
      <c r="M91" s="158"/>
      <c r="N91" s="138"/>
      <c r="O91" s="158"/>
    </row>
    <row r="92" spans="1:15" ht="13" x14ac:dyDescent="0.15">
      <c r="A92" s="73" t="s">
        <v>59</v>
      </c>
      <c r="B92" s="74" t="s">
        <v>163</v>
      </c>
      <c r="C92" s="78">
        <v>19.989999999999998</v>
      </c>
      <c r="D92" s="78">
        <v>29.99</v>
      </c>
      <c r="E92" s="96" t="s">
        <v>164</v>
      </c>
      <c r="F92" s="76" t="s">
        <v>164</v>
      </c>
      <c r="G92" s="77"/>
      <c r="H92" s="73" t="s">
        <v>59</v>
      </c>
      <c r="I92" s="74" t="s">
        <v>163</v>
      </c>
      <c r="J92" s="134">
        <f ca="1">IFERROR(__xludf.DUMMYFUNCTION("IF(E92=F92,C92,GOOGLEFINANCE(CONCATENATE(E92,F92))*C92)"),19.99)</f>
        <v>19.989999999999998</v>
      </c>
      <c r="K92" s="135" t="s">
        <v>164</v>
      </c>
      <c r="L92" s="159">
        <f ca="1">IFERROR(__xludf.DUMMYFUNCTION("VALUE(IF(E92=""USD"",C92,IF(E92=""EUR"",C92/GOOGLEFINANCE(CONCATENATE(M92,O92)),IF(E92=F92,C92/GOOGLEFINANCE(CONCATENATE(M92,K92))))))"),5.318268719)</f>
        <v>5.3182687189999998</v>
      </c>
      <c r="M92" s="160" t="s">
        <v>86</v>
      </c>
      <c r="N92" s="131" t="s">
        <v>860</v>
      </c>
      <c r="O92" s="160" t="s">
        <v>85</v>
      </c>
    </row>
    <row r="93" spans="1:15" ht="13" x14ac:dyDescent="0.15">
      <c r="A93" s="73" t="s">
        <v>50</v>
      </c>
      <c r="B93" s="74" t="s">
        <v>165</v>
      </c>
      <c r="C93" s="218" t="s">
        <v>826</v>
      </c>
      <c r="D93" s="199"/>
      <c r="E93" s="139"/>
      <c r="F93" s="139" t="s">
        <v>166</v>
      </c>
      <c r="G93" s="77"/>
      <c r="H93" s="136" t="s">
        <v>50</v>
      </c>
      <c r="I93" s="137" t="s">
        <v>165</v>
      </c>
      <c r="J93" s="142"/>
      <c r="K93" s="143" t="s">
        <v>166</v>
      </c>
      <c r="L93" s="157"/>
      <c r="M93" s="158"/>
      <c r="N93" s="138"/>
      <c r="O93" s="158"/>
    </row>
    <row r="94" spans="1:15" ht="13" x14ac:dyDescent="0.15">
      <c r="A94" s="73" t="s">
        <v>61</v>
      </c>
      <c r="B94" s="74" t="s">
        <v>167</v>
      </c>
      <c r="C94" s="78">
        <v>9.98</v>
      </c>
      <c r="D94" s="78">
        <v>14.98</v>
      </c>
      <c r="E94" s="96" t="s">
        <v>168</v>
      </c>
      <c r="F94" s="76" t="s">
        <v>168</v>
      </c>
      <c r="G94" s="77"/>
      <c r="H94" s="73" t="s">
        <v>61</v>
      </c>
      <c r="I94" s="74" t="s">
        <v>167</v>
      </c>
      <c r="J94" s="134">
        <f ca="1">IFERROR(__xludf.DUMMYFUNCTION("IF(E94=F94,C94,GOOGLEFINANCE(CONCATENATE(E94,F94))*C94)"),9.98)</f>
        <v>9.98</v>
      </c>
      <c r="K94" s="135" t="s">
        <v>168</v>
      </c>
      <c r="L94" s="159">
        <f ca="1">IFERROR(__xludf.DUMMYFUNCTION("VALUE(IF(E94=""USD"",C94,IF(E94=""EUR"",C94/GOOGLEFINANCE(CONCATENATE(M94,O94)),IF(E94=F94,C94/GOOGLEFINANCE(CONCATENATE(M94,K94))))))"),7.024706131)</f>
        <v>7.0247061310000003</v>
      </c>
      <c r="M94" s="160" t="s">
        <v>86</v>
      </c>
      <c r="N94" s="131" t="s">
        <v>861</v>
      </c>
      <c r="O94" s="160" t="s">
        <v>85</v>
      </c>
    </row>
    <row r="95" spans="1:15" ht="13" x14ac:dyDescent="0.15">
      <c r="A95" s="73" t="s">
        <v>47</v>
      </c>
      <c r="B95" s="74" t="s">
        <v>169</v>
      </c>
      <c r="C95" s="78">
        <v>5.99</v>
      </c>
      <c r="D95" s="78">
        <v>8.99</v>
      </c>
      <c r="E95" s="96" t="s">
        <v>85</v>
      </c>
      <c r="F95" s="76" t="s">
        <v>85</v>
      </c>
      <c r="G95" s="77"/>
      <c r="H95" s="73" t="s">
        <v>47</v>
      </c>
      <c r="I95" s="74" t="s">
        <v>169</v>
      </c>
      <c r="J95" s="134">
        <f ca="1">IFERROR(__xludf.DUMMYFUNCTION("IF(E95=F95,C95,GOOGLEFINANCE(CONCATENATE(E95,F95))*C95)"),5.99)</f>
        <v>5.99</v>
      </c>
      <c r="K95" s="135" t="s">
        <v>85</v>
      </c>
      <c r="L95" s="159">
        <f ca="1">IFERROR(__xludf.DUMMYFUNCTION("VALUE(IF(E95=""USD"",C95,IF(E95=""EUR"",C95/GOOGLEFINANCE(CONCATENATE(M95,O95)),IF(E95=F95,C95/GOOGLEFINANCE(CONCATENATE(M95,K95))))))"),5.893494035)</f>
        <v>5.8934940349999998</v>
      </c>
      <c r="M95" s="160" t="s">
        <v>86</v>
      </c>
      <c r="N95" s="131" t="s">
        <v>862</v>
      </c>
      <c r="O95" s="160" t="s">
        <v>85</v>
      </c>
    </row>
    <row r="96" spans="1:15" ht="13" x14ac:dyDescent="0.15">
      <c r="A96" s="73" t="s">
        <v>721</v>
      </c>
      <c r="B96" s="74" t="s">
        <v>722</v>
      </c>
      <c r="C96" s="78">
        <v>5.99</v>
      </c>
      <c r="D96" s="78">
        <v>8.99</v>
      </c>
      <c r="E96" s="96" t="s">
        <v>85</v>
      </c>
      <c r="F96" s="76" t="s">
        <v>85</v>
      </c>
      <c r="G96" s="77"/>
      <c r="H96" s="73" t="s">
        <v>721</v>
      </c>
      <c r="I96" s="74" t="s">
        <v>722</v>
      </c>
      <c r="J96" s="134">
        <f ca="1">IFERROR(__xludf.DUMMYFUNCTION("IF(E96=F96,C96,GOOGLEFINANCE(CONCATENATE(E96,F96))*C96)"),5.99)</f>
        <v>5.99</v>
      </c>
      <c r="K96" s="135" t="s">
        <v>85</v>
      </c>
      <c r="L96" s="159">
        <f ca="1">IFERROR(__xludf.DUMMYFUNCTION("VALUE(IF(E96=""USD"",C96,IF(E96=""EUR"",C96/GOOGLEFINANCE(CONCATENATE(M96,O96)),IF(E96=F96,C96/GOOGLEFINANCE(CONCATENATE(M96,K96))))))"),5.893494035)</f>
        <v>5.8934940349999998</v>
      </c>
      <c r="M96" s="160" t="s">
        <v>86</v>
      </c>
      <c r="N96" s="131" t="s">
        <v>862</v>
      </c>
      <c r="O96" s="160" t="s">
        <v>85</v>
      </c>
    </row>
    <row r="97" spans="1:15" ht="13" x14ac:dyDescent="0.15">
      <c r="A97" s="73" t="s">
        <v>75</v>
      </c>
      <c r="B97" s="74" t="s">
        <v>170</v>
      </c>
      <c r="C97" s="78">
        <v>59.99</v>
      </c>
      <c r="D97" s="78">
        <v>89.99</v>
      </c>
      <c r="E97" s="96" t="s">
        <v>171</v>
      </c>
      <c r="F97" s="76" t="s">
        <v>171</v>
      </c>
      <c r="G97" s="77"/>
      <c r="H97" s="73" t="s">
        <v>75</v>
      </c>
      <c r="I97" s="74" t="s">
        <v>170</v>
      </c>
      <c r="J97" s="134">
        <f ca="1">IFERROR(__xludf.DUMMYFUNCTION("IF(E97=F97,C97,GOOGLEFINANCE(CONCATENATE(E97,F97))*C97)"),59.99)</f>
        <v>59.99</v>
      </c>
      <c r="K97" s="135" t="s">
        <v>171</v>
      </c>
      <c r="L97" s="159">
        <f ca="1">IFERROR(__xludf.DUMMYFUNCTION("VALUE(IF(E97=""USD"",C97,IF(E97=""EUR"",C97/GOOGLEFINANCE(CONCATENATE(M97,O97)),IF(E97=F97,C97/GOOGLEFINANCE(CONCATENATE(M97,K97))))))"),3.289619794)</f>
        <v>3.289619794</v>
      </c>
      <c r="M97" s="160" t="s">
        <v>86</v>
      </c>
      <c r="N97" s="131" t="s">
        <v>863</v>
      </c>
      <c r="O97" s="160" t="s">
        <v>85</v>
      </c>
    </row>
    <row r="98" spans="1:15" ht="13" x14ac:dyDescent="0.15">
      <c r="A98" s="73" t="s">
        <v>60</v>
      </c>
      <c r="B98" s="74" t="s">
        <v>172</v>
      </c>
      <c r="C98" s="78">
        <v>8900</v>
      </c>
      <c r="D98" s="78">
        <v>13500</v>
      </c>
      <c r="E98" s="96" t="s">
        <v>173</v>
      </c>
      <c r="F98" s="76" t="s">
        <v>173</v>
      </c>
      <c r="G98" s="77"/>
      <c r="H98" s="73" t="s">
        <v>60</v>
      </c>
      <c r="I98" s="74" t="s">
        <v>172</v>
      </c>
      <c r="J98" s="134">
        <f ca="1">IFERROR(__xludf.DUMMYFUNCTION("IF(E98=F98,C98,GOOGLEFINANCE(CONCATENATE(E98,F98))*C98)"),8900)</f>
        <v>8900</v>
      </c>
      <c r="K98" s="135" t="s">
        <v>173</v>
      </c>
      <c r="L98" s="159">
        <f ca="1">IFERROR(__xludf.DUMMYFUNCTION("VALUE(IF(E98=""USD"",C98,IF(E98=""EUR"",C98/GOOGLEFINANCE(CONCATENATE(M98,O98)),IF(E98=F98,C98/GOOGLEFINANCE(CONCATENATE(M98,K98))))))"),6.168026751)</f>
        <v>6.1680267510000002</v>
      </c>
      <c r="M98" s="160" t="s">
        <v>86</v>
      </c>
      <c r="N98" s="131" t="s">
        <v>864</v>
      </c>
      <c r="O98" s="160" t="s">
        <v>85</v>
      </c>
    </row>
    <row r="99" spans="1:15" ht="13" x14ac:dyDescent="0.15">
      <c r="A99" s="73" t="s">
        <v>33</v>
      </c>
      <c r="B99" s="74" t="s">
        <v>174</v>
      </c>
      <c r="C99" s="78">
        <v>9.99</v>
      </c>
      <c r="D99" s="78">
        <v>14.99</v>
      </c>
      <c r="E99" s="96" t="s">
        <v>85</v>
      </c>
      <c r="F99" s="76" t="s">
        <v>85</v>
      </c>
      <c r="G99" s="77"/>
      <c r="H99" s="73" t="s">
        <v>33</v>
      </c>
      <c r="I99" s="74" t="s">
        <v>174</v>
      </c>
      <c r="J99" s="134">
        <f ca="1">IFERROR(__xludf.DUMMYFUNCTION("IF(E99=F99,C99,GOOGLEFINANCE(CONCATENATE(E99,F99))*C99)"),9.99)</f>
        <v>9.99</v>
      </c>
      <c r="K99" s="135" t="s">
        <v>85</v>
      </c>
      <c r="L99" s="159">
        <f ca="1">IFERROR(__xludf.DUMMYFUNCTION("VALUE(IF(E99=""USD"",C99,IF(E99=""EUR"",C99/GOOGLEFINANCE(CONCATENATE(M99,O99)),IF(E99=F99,C99/GOOGLEFINANCE(CONCATENATE(M99,K99))))))"),9.829049317)</f>
        <v>9.8290493170000008</v>
      </c>
      <c r="M99" s="160" t="s">
        <v>86</v>
      </c>
      <c r="N99" s="131" t="s">
        <v>523</v>
      </c>
      <c r="O99" s="160" t="s">
        <v>85</v>
      </c>
    </row>
    <row r="100" spans="1:15" ht="13" x14ac:dyDescent="0.15">
      <c r="A100" s="73" t="s">
        <v>652</v>
      </c>
      <c r="B100" s="74" t="s">
        <v>364</v>
      </c>
      <c r="C100" s="218" t="s">
        <v>826</v>
      </c>
      <c r="D100" s="199"/>
      <c r="E100" s="139"/>
      <c r="F100" s="139" t="s">
        <v>365</v>
      </c>
      <c r="G100" s="77"/>
      <c r="H100" s="136" t="s">
        <v>652</v>
      </c>
      <c r="I100" s="137" t="s">
        <v>364</v>
      </c>
      <c r="J100" s="142"/>
      <c r="K100" s="143" t="s">
        <v>365</v>
      </c>
      <c r="L100" s="157"/>
      <c r="M100" s="158"/>
      <c r="N100" s="138"/>
      <c r="O100" s="158"/>
    </row>
    <row r="101" spans="1:15" ht="13" x14ac:dyDescent="0.15">
      <c r="A101" s="73" t="s">
        <v>36</v>
      </c>
      <c r="B101" s="74" t="s">
        <v>175</v>
      </c>
      <c r="C101" s="78">
        <v>99</v>
      </c>
      <c r="D101" s="78">
        <v>149</v>
      </c>
      <c r="E101" s="96" t="s">
        <v>176</v>
      </c>
      <c r="F101" s="76" t="s">
        <v>176</v>
      </c>
      <c r="G101" s="77"/>
      <c r="H101" s="73" t="s">
        <v>36</v>
      </c>
      <c r="I101" s="74" t="s">
        <v>175</v>
      </c>
      <c r="J101" s="134">
        <f ca="1">IFERROR(__xludf.DUMMYFUNCTION("IF(E101=F101,C101,GOOGLEFINANCE(CONCATENATE(E101,F101))*C101)"),99)</f>
        <v>99</v>
      </c>
      <c r="K101" s="135" t="s">
        <v>176</v>
      </c>
      <c r="L101" s="159">
        <f ca="1">IFERROR(__xludf.DUMMYFUNCTION("VALUE(IF(E101=""USD"",C101,IF(E101=""EUR"",C101/GOOGLEFINANCE(CONCATENATE(M101,O101)),IF(E101=F101,C101/GOOGLEFINANCE(CONCATENATE(M101,K101))))))"),8.8014317)</f>
        <v>8.8014317000000002</v>
      </c>
      <c r="M101" s="160" t="s">
        <v>86</v>
      </c>
      <c r="N101" s="131" t="s">
        <v>865</v>
      </c>
      <c r="O101" s="160" t="s">
        <v>85</v>
      </c>
    </row>
    <row r="102" spans="1:15" ht="13" x14ac:dyDescent="0.15">
      <c r="A102" s="73" t="s">
        <v>25</v>
      </c>
      <c r="B102" s="74" t="s">
        <v>177</v>
      </c>
      <c r="C102" s="78">
        <v>12.9</v>
      </c>
      <c r="D102" s="78">
        <v>19.899999999999999</v>
      </c>
      <c r="E102" s="96" t="s">
        <v>178</v>
      </c>
      <c r="F102" s="76" t="s">
        <v>178</v>
      </c>
      <c r="G102" s="77"/>
      <c r="H102" s="73" t="s">
        <v>25</v>
      </c>
      <c r="I102" s="74" t="s">
        <v>177</v>
      </c>
      <c r="J102" s="134">
        <f ca="1">IFERROR(__xludf.DUMMYFUNCTION("IF(E102=F102,C102,GOOGLEFINANCE(CONCATENATE(E102,F102))*C102)"),12.9)</f>
        <v>12.9</v>
      </c>
      <c r="K102" s="135" t="s">
        <v>178</v>
      </c>
      <c r="L102" s="159">
        <f ca="1">IFERROR(__xludf.DUMMYFUNCTION("VALUE(IF(E102=""USD"",C102,IF(E102=""EUR"",C102/GOOGLEFINANCE(CONCATENATE(M102,O102)),IF(E102=F102,C102/GOOGLEFINANCE(CONCATENATE(M102,K102))))))"),12.90981146)</f>
        <v>12.90981146</v>
      </c>
      <c r="M102" s="160" t="s">
        <v>86</v>
      </c>
      <c r="N102" s="131" t="s">
        <v>866</v>
      </c>
      <c r="O102" s="160" t="s">
        <v>85</v>
      </c>
    </row>
    <row r="103" spans="1:15" ht="13" x14ac:dyDescent="0.15">
      <c r="A103" s="73" t="s">
        <v>735</v>
      </c>
      <c r="B103" s="74" t="s">
        <v>736</v>
      </c>
      <c r="C103" s="78">
        <v>150</v>
      </c>
      <c r="D103" s="78">
        <v>240</v>
      </c>
      <c r="E103" s="96" t="s">
        <v>470</v>
      </c>
      <c r="F103" s="76" t="s">
        <v>470</v>
      </c>
      <c r="G103" s="77"/>
      <c r="H103" s="73" t="s">
        <v>735</v>
      </c>
      <c r="I103" s="74" t="s">
        <v>736</v>
      </c>
      <c r="J103" s="134">
        <f ca="1">IFERROR(__xludf.DUMMYFUNCTION("IF(E103=F103,C103,GOOGLEFINANCE(CONCATENATE(E103,F103))*C103)"),150)</f>
        <v>150</v>
      </c>
      <c r="K103" s="135" t="s">
        <v>470</v>
      </c>
      <c r="L103" s="159">
        <f ca="1">IFERROR(__xludf.DUMMYFUNCTION("VALUE(IF(E103=""USD"",C103,IF(E103=""EUR"",C103/GOOGLEFINANCE(CONCATENATE(M103,O103)),IF(E103=F103,C103/GOOGLEFINANCE(CONCATENATE(M103,K103))))))"),4.649749843)</f>
        <v>4.6497498430000004</v>
      </c>
      <c r="M103" s="160" t="s">
        <v>86</v>
      </c>
      <c r="N103" s="131" t="s">
        <v>829</v>
      </c>
      <c r="O103" s="160" t="s">
        <v>85</v>
      </c>
    </row>
    <row r="104" spans="1:15" ht="13" x14ac:dyDescent="0.15">
      <c r="A104" s="73" t="s">
        <v>728</v>
      </c>
      <c r="B104" s="74" t="s">
        <v>729</v>
      </c>
      <c r="C104" s="78">
        <v>4.99</v>
      </c>
      <c r="D104" s="78">
        <v>7.99</v>
      </c>
      <c r="E104" s="96" t="s">
        <v>86</v>
      </c>
      <c r="F104" s="76" t="s">
        <v>459</v>
      </c>
      <c r="G104" s="77"/>
      <c r="H104" s="73" t="s">
        <v>728</v>
      </c>
      <c r="I104" s="74" t="s">
        <v>729</v>
      </c>
      <c r="J104" s="134">
        <f ca="1">IFERROR(__xludf.DUMMYFUNCTION("IF(E104=F104,C104,GOOGLEFINANCE(CONCATENATE(E104,F104))*C104)"),50.2722041)</f>
        <v>50.272204100000003</v>
      </c>
      <c r="K104" s="145" t="s">
        <v>459</v>
      </c>
      <c r="L104" s="159">
        <f ca="1">IFERROR(__xludf.DUMMYFUNCTION("VALUE(IF(E104=""USD"",C104,IF(E104=""EUR"",C104/GOOGLEFINANCE(CONCATENATE(M104,O104)),IF(E104=F104,C104/GOOGLEFINANCE(CONCATENATE(M104,K104))))))"),4.99)</f>
        <v>4.99</v>
      </c>
      <c r="M104" s="160" t="s">
        <v>86</v>
      </c>
      <c r="N104" s="131" t="s">
        <v>829</v>
      </c>
      <c r="O104" s="160" t="s">
        <v>85</v>
      </c>
    </row>
    <row r="105" spans="1:15" ht="13" x14ac:dyDescent="0.15">
      <c r="A105" s="73" t="s">
        <v>740</v>
      </c>
      <c r="B105" s="74" t="s">
        <v>472</v>
      </c>
      <c r="C105" s="218" t="s">
        <v>826</v>
      </c>
      <c r="D105" s="199"/>
      <c r="E105" s="139"/>
      <c r="F105" s="139" t="s">
        <v>473</v>
      </c>
      <c r="G105" s="77"/>
      <c r="H105" s="136" t="s">
        <v>740</v>
      </c>
      <c r="I105" s="137" t="s">
        <v>472</v>
      </c>
      <c r="J105" s="142"/>
      <c r="K105" s="143" t="s">
        <v>473</v>
      </c>
      <c r="L105" s="157"/>
      <c r="M105" s="158"/>
      <c r="N105" s="138"/>
      <c r="O105" s="158"/>
    </row>
    <row r="106" spans="1:15" ht="13" x14ac:dyDescent="0.15">
      <c r="A106" s="73" t="s">
        <v>78</v>
      </c>
      <c r="B106" s="74" t="s">
        <v>179</v>
      </c>
      <c r="C106" s="78">
        <v>129</v>
      </c>
      <c r="D106" s="78">
        <v>199</v>
      </c>
      <c r="E106" s="96" t="s">
        <v>180</v>
      </c>
      <c r="F106" s="76" t="s">
        <v>180</v>
      </c>
      <c r="G106" s="77"/>
      <c r="H106" s="73" t="s">
        <v>78</v>
      </c>
      <c r="I106" s="74" t="s">
        <v>179</v>
      </c>
      <c r="J106" s="134">
        <f ca="1">IFERROR(__xludf.DUMMYFUNCTION("IF(E106=F106,C106,GOOGLEFINANCE(CONCATENATE(E106,F106))*C106)"),129)</f>
        <v>129</v>
      </c>
      <c r="K106" s="135" t="s">
        <v>180</v>
      </c>
      <c r="L106" s="159">
        <f ca="1">IFERROR(__xludf.DUMMYFUNCTION("VALUE(IF(E106=""USD"",C106,IF(E106=""EUR"",C106/GOOGLEFINANCE(CONCATENATE(M106,O106)),IF(E106=F106,C106/GOOGLEFINANCE(CONCATENATE(M106,K106))))))"),3.385160401)</f>
        <v>3.3851604009999998</v>
      </c>
      <c r="M106" s="160" t="s">
        <v>86</v>
      </c>
      <c r="N106" s="131" t="s">
        <v>867</v>
      </c>
      <c r="O106" s="160" t="s">
        <v>85</v>
      </c>
    </row>
    <row r="107" spans="1:15" ht="13" x14ac:dyDescent="0.15">
      <c r="A107" s="73" t="s">
        <v>730</v>
      </c>
      <c r="B107" s="74" t="s">
        <v>731</v>
      </c>
      <c r="C107" s="78">
        <v>4.99</v>
      </c>
      <c r="D107" s="78">
        <v>7.99</v>
      </c>
      <c r="E107" s="96" t="s">
        <v>86</v>
      </c>
      <c r="F107" s="76" t="s">
        <v>465</v>
      </c>
      <c r="G107" s="77"/>
      <c r="H107" s="73" t="s">
        <v>730</v>
      </c>
      <c r="I107" s="74" t="s">
        <v>731</v>
      </c>
      <c r="J107" s="134">
        <f ca="1">IFERROR(__xludf.DUMMYFUNCTION("IF(E107=F107,C107,GOOGLEFINANCE(CONCATENATE(E107,F107))*C107)"),16.18257)</f>
        <v>16.182569999999998</v>
      </c>
      <c r="K107" s="145" t="s">
        <v>465</v>
      </c>
      <c r="L107" s="159">
        <f ca="1">IFERROR(__xludf.DUMMYFUNCTION("VALUE(IF(E107=""USD"",C107,IF(E107=""EUR"",C107/GOOGLEFINANCE(CONCATENATE(M107,O107)),IF(E107=F107,C107/GOOGLEFINANCE(CONCATENATE(M107,K107))))))"),4.99)</f>
        <v>4.99</v>
      </c>
      <c r="M107" s="160" t="s">
        <v>86</v>
      </c>
      <c r="N107" s="131" t="s">
        <v>829</v>
      </c>
      <c r="O107" s="160" t="s">
        <v>85</v>
      </c>
    </row>
    <row r="108" spans="1:15" ht="13" x14ac:dyDescent="0.15">
      <c r="A108" s="73" t="s">
        <v>84</v>
      </c>
      <c r="B108" s="74" t="s">
        <v>181</v>
      </c>
      <c r="C108" s="78">
        <v>19.989999999999998</v>
      </c>
      <c r="D108" s="78">
        <v>29.99</v>
      </c>
      <c r="E108" s="96" t="s">
        <v>182</v>
      </c>
      <c r="F108" s="76" t="s">
        <v>182</v>
      </c>
      <c r="G108" s="77"/>
      <c r="H108" s="73" t="s">
        <v>84</v>
      </c>
      <c r="I108" s="74" t="s">
        <v>181</v>
      </c>
      <c r="J108" s="134">
        <f ca="1">IFERROR(__xludf.DUMMYFUNCTION("IF(E108=F108,C108,GOOGLEFINANCE(CONCATENATE(E108,F108))*C108)"),19.99)</f>
        <v>19.989999999999998</v>
      </c>
      <c r="K108" s="135" t="s">
        <v>182</v>
      </c>
      <c r="L108" s="159">
        <f ca="1">IFERROR(__xludf.DUMMYFUNCTION("VALUE(IF(E108=""USD"",C108,IF(E108=""EUR"",C108/GOOGLEFINANCE(CONCATENATE(M108,O108)),IF(E108=F108,C108/GOOGLEFINANCE(CONCATENATE(M108,K108))))))"),1.074399043)</f>
        <v>1.0743990430000001</v>
      </c>
      <c r="M108" s="160" t="s">
        <v>86</v>
      </c>
      <c r="N108" s="131" t="s">
        <v>868</v>
      </c>
      <c r="O108" s="160" t="s">
        <v>85</v>
      </c>
    </row>
    <row r="109" spans="1:15" ht="13" x14ac:dyDescent="0.15">
      <c r="A109" s="73" t="s">
        <v>744</v>
      </c>
      <c r="B109" s="74" t="s">
        <v>477</v>
      </c>
      <c r="C109" s="78">
        <v>2.99</v>
      </c>
      <c r="D109" s="78">
        <v>4.99</v>
      </c>
      <c r="E109" s="96" t="s">
        <v>86</v>
      </c>
      <c r="F109" s="76" t="s">
        <v>478</v>
      </c>
      <c r="G109" s="77"/>
      <c r="H109" s="73" t="s">
        <v>744</v>
      </c>
      <c r="I109" s="74" t="s">
        <v>477</v>
      </c>
      <c r="J109" s="134">
        <f ca="1">IFERROR(__xludf.DUMMYFUNCTION("IF(E109=F109,C109,GOOGLEFINANCE(CONCATENATE(E109,F109))*C109)"),11295.61303)</f>
        <v>11295.61303</v>
      </c>
      <c r="K109" s="145" t="s">
        <v>478</v>
      </c>
      <c r="L109" s="159">
        <f ca="1">IFERROR(__xludf.DUMMYFUNCTION("VALUE(IF(E109=""USD"",C109,IF(E109=""EUR"",C109/GOOGLEFINANCE(CONCATENATE(M109,O109)),IF(E109=F109,C109/GOOGLEFINANCE(CONCATENATE(M109,K109))))))"),2.99)</f>
        <v>2.99</v>
      </c>
      <c r="M109" s="160" t="s">
        <v>86</v>
      </c>
      <c r="N109" s="131" t="s">
        <v>832</v>
      </c>
      <c r="O109" s="160" t="s">
        <v>85</v>
      </c>
    </row>
    <row r="110" spans="1:15" ht="13" x14ac:dyDescent="0.15">
      <c r="A110" s="73" t="s">
        <v>62</v>
      </c>
      <c r="B110" s="74" t="s">
        <v>185</v>
      </c>
      <c r="C110" s="78">
        <v>4.99</v>
      </c>
      <c r="D110" s="78">
        <v>7.99</v>
      </c>
      <c r="E110" s="96" t="s">
        <v>86</v>
      </c>
      <c r="F110" s="76" t="s">
        <v>186</v>
      </c>
      <c r="G110" s="77"/>
      <c r="H110" s="73" t="s">
        <v>62</v>
      </c>
      <c r="I110" s="74" t="s">
        <v>185</v>
      </c>
      <c r="J110" s="134">
        <f ca="1">IFERROR(__xludf.DUMMYFUNCTION("IF(E110=F110,C110,GOOGLEFINANCE(CONCATENATE(E110,F110))*C110)"),182.5137909)</f>
        <v>182.5137909</v>
      </c>
      <c r="K110" s="145" t="s">
        <v>186</v>
      </c>
      <c r="L110" s="159">
        <f ca="1">IFERROR(__xludf.DUMMYFUNCTION("VALUE(IF(E110=""USD"",C110,IF(E110=""EUR"",C110/GOOGLEFINANCE(CONCATENATE(M110,O110)),IF(E110=F110,C110/GOOGLEFINANCE(CONCATENATE(M110,K110))))))"),4.99)</f>
        <v>4.99</v>
      </c>
      <c r="M110" s="160" t="s">
        <v>86</v>
      </c>
      <c r="N110" s="131" t="s">
        <v>829</v>
      </c>
      <c r="O110" s="160" t="s">
        <v>85</v>
      </c>
    </row>
    <row r="111" spans="1:15" ht="13" x14ac:dyDescent="0.15">
      <c r="A111" s="73" t="s">
        <v>69</v>
      </c>
      <c r="B111" s="74" t="s">
        <v>516</v>
      </c>
      <c r="C111" s="78">
        <v>19.989999999999998</v>
      </c>
      <c r="D111" s="78">
        <v>29.99</v>
      </c>
      <c r="E111" s="96" t="s">
        <v>184</v>
      </c>
      <c r="F111" s="76" t="s">
        <v>184</v>
      </c>
      <c r="G111" s="77"/>
      <c r="H111" s="73" t="s">
        <v>69</v>
      </c>
      <c r="I111" s="74" t="s">
        <v>516</v>
      </c>
      <c r="J111" s="134">
        <f ca="1">IFERROR(__xludf.DUMMYFUNCTION("IF(E111=F111,C111,GOOGLEFINANCE(CONCATENATE(E111,F111))*C111)"),19.99)</f>
        <v>19.989999999999998</v>
      </c>
      <c r="K111" s="135" t="s">
        <v>184</v>
      </c>
      <c r="L111" s="159">
        <f ca="1">IFERROR(__xludf.DUMMYFUNCTION("VALUE(IF(E111=""USD"",C111,IF(E111=""EUR"",C111/GOOGLEFINANCE(CONCATENATE(M111,O111)),IF(E111=F111,C111/GOOGLEFINANCE(CONCATENATE(M111,K111))))))"),5.44243246)</f>
        <v>5.44243246</v>
      </c>
      <c r="M111" s="160" t="s">
        <v>86</v>
      </c>
      <c r="N111" s="131" t="s">
        <v>869</v>
      </c>
      <c r="O111" s="160" t="s">
        <v>85</v>
      </c>
    </row>
    <row r="112" spans="1:15" ht="13" x14ac:dyDescent="0.15">
      <c r="A112" s="73" t="s">
        <v>27</v>
      </c>
      <c r="B112" s="74" t="s">
        <v>187</v>
      </c>
      <c r="C112" s="78">
        <v>9.99</v>
      </c>
      <c r="D112" s="78">
        <v>14.99</v>
      </c>
      <c r="E112" s="96" t="s">
        <v>188</v>
      </c>
      <c r="F112" s="76" t="s">
        <v>188</v>
      </c>
      <c r="G112" s="77"/>
      <c r="H112" s="73" t="s">
        <v>27</v>
      </c>
      <c r="I112" s="74" t="s">
        <v>187</v>
      </c>
      <c r="J112" s="134">
        <f ca="1">IFERROR(__xludf.DUMMYFUNCTION("IF(E112=F112,C112,GOOGLEFINANCE(CONCATENATE(E112,F112))*C112)"),9.99)</f>
        <v>9.99</v>
      </c>
      <c r="K112" s="135" t="s">
        <v>188</v>
      </c>
      <c r="L112" s="159">
        <f ca="1">IFERROR(__xludf.DUMMYFUNCTION("VALUE(IF(E112=""USD"",C112,IF(E112=""EUR"",C112/GOOGLEFINANCE(CONCATENATE(M112,O112)),IF(E112=F112,C112/GOOGLEFINANCE(CONCATENATE(M112,K112))))))"),11.31466433)</f>
        <v>11.314664329999999</v>
      </c>
      <c r="M112" s="160" t="s">
        <v>86</v>
      </c>
      <c r="N112" s="131" t="s">
        <v>870</v>
      </c>
      <c r="O112" s="160" t="s">
        <v>85</v>
      </c>
    </row>
    <row r="113" spans="1:15" ht="13" x14ac:dyDescent="0.15">
      <c r="A113" s="73" t="s">
        <v>26</v>
      </c>
      <c r="B113" s="74" t="s">
        <v>189</v>
      </c>
      <c r="C113" s="78">
        <v>9.99</v>
      </c>
      <c r="D113" s="78">
        <v>14.99</v>
      </c>
      <c r="E113" s="96" t="s">
        <v>86</v>
      </c>
      <c r="F113" s="76" t="s">
        <v>86</v>
      </c>
      <c r="G113" s="77"/>
      <c r="H113" s="73" t="s">
        <v>26</v>
      </c>
      <c r="I113" s="74" t="s">
        <v>189</v>
      </c>
      <c r="J113" s="134">
        <f ca="1">IFERROR(__xludf.DUMMYFUNCTION("IF(E113=F113,C113,GOOGLEFINANCE(CONCATENATE(E113,F113))*C113)"),9.99)</f>
        <v>9.99</v>
      </c>
      <c r="K113" s="135" t="s">
        <v>86</v>
      </c>
      <c r="L113" s="159">
        <f ca="1">IFERROR(__xludf.DUMMYFUNCTION("VALUE(IF(E113=""USD"",C113,IF(E113=""EUR"",C113/GOOGLEFINANCE(CONCATENATE(M113,O113)),IF(E113=F113,C113/GOOGLEFINANCE(CONCATENATE(M113,K113))))))"),9.99)</f>
        <v>9.99</v>
      </c>
      <c r="M113" s="160" t="s">
        <v>86</v>
      </c>
      <c r="N113" s="131" t="s">
        <v>871</v>
      </c>
      <c r="O113" s="160" t="s">
        <v>85</v>
      </c>
    </row>
    <row r="114" spans="1:15" ht="13" x14ac:dyDescent="0.15">
      <c r="A114" s="73" t="s">
        <v>747</v>
      </c>
      <c r="B114" s="74" t="s">
        <v>748</v>
      </c>
      <c r="C114" s="78">
        <v>5.99</v>
      </c>
      <c r="D114" s="78">
        <v>8.99</v>
      </c>
      <c r="E114" s="96" t="s">
        <v>86</v>
      </c>
      <c r="F114" s="76" t="s">
        <v>485</v>
      </c>
      <c r="G114" s="77"/>
      <c r="H114" s="73" t="s">
        <v>747</v>
      </c>
      <c r="I114" s="74" t="s">
        <v>748</v>
      </c>
      <c r="J114" s="134">
        <f ca="1">IFERROR(__xludf.DUMMYFUNCTION("IF(E114=F114,C114,GOOGLEFINANCE(CONCATENATE(E114,F114))*C114)"),244.6817363)</f>
        <v>244.68173630000001</v>
      </c>
      <c r="K114" s="145" t="s">
        <v>485</v>
      </c>
      <c r="L114" s="159">
        <f ca="1">IFERROR(__xludf.DUMMYFUNCTION("VALUE(IF(E114=""USD"",C114,IF(E114=""EUR"",C114/GOOGLEFINANCE(CONCATENATE(M114,O114)),IF(E114=F114,C114/GOOGLEFINANCE(CONCATENATE(M114,K114))))))"),5.99)</f>
        <v>5.99</v>
      </c>
      <c r="M114" s="160" t="s">
        <v>86</v>
      </c>
      <c r="N114" s="131" t="s">
        <v>827</v>
      </c>
      <c r="O114" s="160" t="s">
        <v>85</v>
      </c>
    </row>
    <row r="115" spans="1:15" ht="13" x14ac:dyDescent="0.15">
      <c r="A115" s="73" t="s">
        <v>749</v>
      </c>
      <c r="B115" s="74" t="s">
        <v>487</v>
      </c>
      <c r="C115" s="78">
        <v>4.99</v>
      </c>
      <c r="D115" s="78">
        <v>7.99</v>
      </c>
      <c r="E115" s="96" t="s">
        <v>86</v>
      </c>
      <c r="F115" s="76" t="s">
        <v>488</v>
      </c>
      <c r="G115" s="77"/>
      <c r="H115" s="73" t="s">
        <v>749</v>
      </c>
      <c r="I115" s="74" t="s">
        <v>487</v>
      </c>
      <c r="J115" s="134" t="str">
        <f ca="1">IFERROR(__xludf.DUMMYFUNCTION("IF(E115=F115,C115,GOOGLEFINANCE(CONCATENATE(E115,F115))*C115)"),"#N/A")</f>
        <v>#N/A</v>
      </c>
      <c r="K115" s="145" t="s">
        <v>488</v>
      </c>
      <c r="L115" s="159">
        <f ca="1">IFERROR(__xludf.DUMMYFUNCTION("VALUE(IF(E115=""USD"",C115,IF(E115=""EUR"",C115/GOOGLEFINANCE(CONCATENATE(M115,O115)),IF(E115=F115,C115/GOOGLEFINANCE(CONCATENATE(M115,K115))))))"),4.99)</f>
        <v>4.99</v>
      </c>
      <c r="M115" s="160" t="s">
        <v>86</v>
      </c>
      <c r="N115" s="131" t="s">
        <v>829</v>
      </c>
      <c r="O115" s="160" t="s">
        <v>85</v>
      </c>
    </row>
    <row r="116" spans="1:15" ht="13" x14ac:dyDescent="0.15">
      <c r="A116" s="73" t="s">
        <v>750</v>
      </c>
      <c r="B116" s="74" t="s">
        <v>751</v>
      </c>
      <c r="C116" s="78">
        <v>5.99</v>
      </c>
      <c r="D116" s="78">
        <v>8.99</v>
      </c>
      <c r="E116" s="96" t="s">
        <v>86</v>
      </c>
      <c r="F116" s="96" t="s">
        <v>491</v>
      </c>
      <c r="G116" s="77"/>
      <c r="H116" s="73" t="s">
        <v>750</v>
      </c>
      <c r="I116" s="74" t="s">
        <v>751</v>
      </c>
      <c r="J116" s="134">
        <f ca="1">IFERROR(__xludf.DUMMYFUNCTION("IF(E116=F116,C116,GOOGLEFINANCE(CONCATENATE(E116,F116))*C116)"),50.29803)</f>
        <v>50.298029999999997</v>
      </c>
      <c r="K116" s="162" t="s">
        <v>491</v>
      </c>
      <c r="L116" s="159">
        <f ca="1">IFERROR(__xludf.DUMMYFUNCTION("VALUE(IF(E116=""USD"",C116,IF(E116=""EUR"",C116/GOOGLEFINANCE(CONCATENATE(M116,O116)),IF(E116=F116,C116/GOOGLEFINANCE(CONCATENATE(M116,K116))))))"),5.99)</f>
        <v>5.99</v>
      </c>
      <c r="M116" s="160" t="s">
        <v>86</v>
      </c>
      <c r="N116" s="131" t="s">
        <v>827</v>
      </c>
      <c r="O116" s="160" t="s">
        <v>85</v>
      </c>
    </row>
    <row r="117" spans="1:15" ht="13" x14ac:dyDescent="0.15">
      <c r="A117" s="73" t="s">
        <v>79</v>
      </c>
      <c r="B117" s="74" t="s">
        <v>190</v>
      </c>
      <c r="C117" s="78">
        <v>59000</v>
      </c>
      <c r="D117" s="78">
        <v>89000</v>
      </c>
      <c r="E117" s="96" t="s">
        <v>191</v>
      </c>
      <c r="F117" s="76" t="s">
        <v>191</v>
      </c>
      <c r="G117" s="77"/>
      <c r="H117" s="73" t="s">
        <v>79</v>
      </c>
      <c r="I117" s="74" t="s">
        <v>190</v>
      </c>
      <c r="J117" s="134">
        <f ca="1">IFERROR(__xludf.DUMMYFUNCTION("IF(E117=F117,C117,GOOGLEFINANCE(CONCATENATE(E117,F117))*C117)"),59000)</f>
        <v>59000</v>
      </c>
      <c r="K117" s="135" t="s">
        <v>191</v>
      </c>
      <c r="L117" s="159">
        <f ca="1">IFERROR(__xludf.DUMMYFUNCTION("VALUE(IF(E117=""USD"",C117,IF(E117=""EUR"",C117/GOOGLEFINANCE(CONCATENATE(M117,O117)),IF(E117=F117,C117/GOOGLEFINANCE(CONCATENATE(M117,K117))))))"),2.375679485)</f>
        <v>2.375679485</v>
      </c>
      <c r="M117" s="160" t="s">
        <v>86</v>
      </c>
      <c r="N117" s="131" t="s">
        <v>872</v>
      </c>
      <c r="O117" s="160" t="s">
        <v>85</v>
      </c>
    </row>
    <row r="118" spans="1:15" ht="13" x14ac:dyDescent="0.15">
      <c r="A118" s="73" t="s">
        <v>758</v>
      </c>
      <c r="B118" s="74" t="s">
        <v>497</v>
      </c>
      <c r="C118" s="78">
        <v>59.99</v>
      </c>
      <c r="D118" s="78">
        <v>89.99</v>
      </c>
      <c r="E118" s="96" t="s">
        <v>498</v>
      </c>
      <c r="F118" s="76" t="s">
        <v>498</v>
      </c>
      <c r="G118" s="77"/>
      <c r="H118" s="73" t="s">
        <v>758</v>
      </c>
      <c r="I118" s="74" t="s">
        <v>497</v>
      </c>
      <c r="J118" s="134">
        <f ca="1">IFERROR(__xludf.DUMMYFUNCTION("IF(E118=F118,C118,GOOGLEFINANCE(CONCATENATE(E118,F118))*C118)"),59.99)</f>
        <v>59.99</v>
      </c>
      <c r="K118" s="135" t="s">
        <v>498</v>
      </c>
      <c r="L118" s="159">
        <f ca="1">IFERROR(__xludf.DUMMYFUNCTION("VALUE(IF(E118=""USD"",C118,IF(E118=""EUR"",C118/GOOGLEFINANCE(CONCATENATE(M118,O118)),IF(E118=F118,C118/GOOGLEFINANCE(CONCATENATE(M118,K118))))))"),3.789280864)</f>
        <v>3.7892808640000002</v>
      </c>
      <c r="M118" s="160" t="s">
        <v>86</v>
      </c>
      <c r="N118" s="131" t="s">
        <v>873</v>
      </c>
      <c r="O118" s="160" t="s">
        <v>85</v>
      </c>
    </row>
  </sheetData>
  <autoFilter ref="A1:O118" xr:uid="{00000000-0009-0000-0000-00000D000000}"/>
  <mergeCells count="12">
    <mergeCell ref="C45:D45"/>
    <mergeCell ref="C49:D49"/>
    <mergeCell ref="C4:D4"/>
    <mergeCell ref="C14:D14"/>
    <mergeCell ref="C17:D17"/>
    <mergeCell ref="C27:D27"/>
    <mergeCell ref="C39:D39"/>
    <mergeCell ref="C72:D72"/>
    <mergeCell ref="C91:D91"/>
    <mergeCell ref="C93:D93"/>
    <mergeCell ref="C100:D100"/>
    <mergeCell ref="C105:D105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O11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12.6640625" defaultRowHeight="15.75" customHeight="1" x14ac:dyDescent="0.15"/>
  <sheetData>
    <row r="1" spans="1:15" ht="15.75" customHeight="1" x14ac:dyDescent="0.15">
      <c r="A1" s="67" t="s">
        <v>501</v>
      </c>
      <c r="B1" s="67" t="s">
        <v>502</v>
      </c>
      <c r="C1" s="67" t="s">
        <v>874</v>
      </c>
      <c r="D1" s="2" t="s">
        <v>3</v>
      </c>
      <c r="E1" s="67" t="s">
        <v>875</v>
      </c>
      <c r="F1" s="2" t="s">
        <v>507</v>
      </c>
      <c r="G1" s="122"/>
      <c r="H1" s="67" t="s">
        <v>501</v>
      </c>
      <c r="I1" s="67" t="s">
        <v>502</v>
      </c>
      <c r="J1" s="98" t="s">
        <v>876</v>
      </c>
      <c r="K1" s="2" t="s">
        <v>509</v>
      </c>
      <c r="L1" s="98" t="s">
        <v>510</v>
      </c>
      <c r="M1" s="2" t="s">
        <v>86</v>
      </c>
      <c r="N1" s="98" t="s">
        <v>510</v>
      </c>
      <c r="O1" s="2" t="s">
        <v>85</v>
      </c>
    </row>
    <row r="2" spans="1:15" ht="15.75" customHeight="1" x14ac:dyDescent="0.15">
      <c r="A2" s="73" t="s">
        <v>520</v>
      </c>
      <c r="B2" s="84" t="s">
        <v>521</v>
      </c>
      <c r="C2" s="125"/>
      <c r="E2" s="163" t="s">
        <v>525</v>
      </c>
      <c r="F2" s="163" t="s">
        <v>525</v>
      </c>
      <c r="G2" s="77"/>
      <c r="H2" s="73" t="s">
        <v>520</v>
      </c>
      <c r="I2" s="84" t="s">
        <v>521</v>
      </c>
      <c r="J2" s="164">
        <f>IF(E2="USD",D2*VLOOKUP(K2,'Kursy walut'!C:E,2,0),IF(E2="EUR",D2*VLOOKUP(K2,'Kursy walut'!C:E,3,0),D2))</f>
        <v>0</v>
      </c>
      <c r="K2" s="163" t="s">
        <v>525</v>
      </c>
      <c r="L2" s="165" t="e">
        <f>D2/VLOOKUP(F2,'Kursy walut'!C:E,2,0)</f>
        <v>#N/A</v>
      </c>
      <c r="M2" s="52" t="s">
        <v>86</v>
      </c>
      <c r="N2" s="165" t="e">
        <f>D2/VLOOKUP(E2,'Kursy walut'!C:E,3,0)</f>
        <v>#N/A</v>
      </c>
      <c r="O2" s="52" t="s">
        <v>85</v>
      </c>
    </row>
    <row r="3" spans="1:15" ht="15.75" customHeight="1" x14ac:dyDescent="0.15">
      <c r="A3" s="73" t="s">
        <v>52</v>
      </c>
      <c r="B3" s="74" t="s">
        <v>88</v>
      </c>
      <c r="C3" s="125"/>
      <c r="D3" s="131" t="s">
        <v>862</v>
      </c>
      <c r="E3" s="166" t="s">
        <v>85</v>
      </c>
      <c r="F3" s="163" t="s">
        <v>89</v>
      </c>
      <c r="G3" s="77"/>
      <c r="H3" s="73" t="s">
        <v>52</v>
      </c>
      <c r="I3" s="74" t="s">
        <v>88</v>
      </c>
      <c r="J3" s="164">
        <f>IF(E3="USD",D3*VLOOKUP(K3,'Kursy walut'!C:E,2,0),IF(E3="EUR",D3*VLOOKUP(K3,'Kursy walut'!C:E,3,0),D3))</f>
        <v>4240497.8832999999</v>
      </c>
      <c r="K3" s="163" t="s">
        <v>89</v>
      </c>
      <c r="L3" s="165">
        <f>D3/VLOOKUP(E3,'Kursy walut'!C:E,2,0)</f>
        <v>35489.582314389125</v>
      </c>
      <c r="M3" s="52" t="s">
        <v>86</v>
      </c>
      <c r="N3" s="165">
        <f>D3/VLOOKUP(E3,'Kursy walut'!C:E,3,0)</f>
        <v>36281</v>
      </c>
      <c r="O3" s="52" t="s">
        <v>85</v>
      </c>
    </row>
    <row r="4" spans="1:15" ht="15.75" customHeight="1" x14ac:dyDescent="0.15">
      <c r="A4" s="73" t="s">
        <v>588</v>
      </c>
      <c r="B4" s="74" t="s">
        <v>589</v>
      </c>
      <c r="C4" s="125"/>
      <c r="E4" s="163" t="s">
        <v>280</v>
      </c>
      <c r="F4" s="163" t="s">
        <v>280</v>
      </c>
      <c r="G4" s="77"/>
      <c r="H4" s="73" t="s">
        <v>588</v>
      </c>
      <c r="I4" s="74" t="s">
        <v>589</v>
      </c>
      <c r="J4" s="164">
        <f>IF(E4="USD",D4*VLOOKUP(K4,'Kursy walut'!C:E,2,0),IF(E4="EUR",D4*VLOOKUP(K4,'Kursy walut'!C:E,3,0),D4))</f>
        <v>0</v>
      </c>
      <c r="K4" s="163" t="s">
        <v>280</v>
      </c>
      <c r="L4" s="165">
        <f>D4/VLOOKUP(E4,'Kursy walut'!C:E,2,0)</f>
        <v>0</v>
      </c>
      <c r="M4" s="52" t="s">
        <v>86</v>
      </c>
      <c r="N4" s="165">
        <f>D4/VLOOKUP(E4,'Kursy walut'!C:E,3,0)</f>
        <v>0</v>
      </c>
      <c r="O4" s="52" t="s">
        <v>85</v>
      </c>
    </row>
    <row r="5" spans="1:15" ht="15.75" customHeight="1" x14ac:dyDescent="0.15">
      <c r="A5" s="73" t="s">
        <v>511</v>
      </c>
      <c r="B5" s="74" t="s">
        <v>512</v>
      </c>
      <c r="C5" s="125"/>
      <c r="E5" s="163" t="s">
        <v>85</v>
      </c>
      <c r="F5" s="163" t="s">
        <v>85</v>
      </c>
      <c r="G5" s="77"/>
      <c r="H5" s="73" t="s">
        <v>511</v>
      </c>
      <c r="I5" s="74" t="s">
        <v>512</v>
      </c>
      <c r="J5" s="164">
        <f>IF(E5="USD",D5*VLOOKUP(K5,'Kursy walut'!C:E,2,0),IF(E5="EUR",D5*VLOOKUP(K5,'Kursy walut'!C:E,3,0),D5))</f>
        <v>0</v>
      </c>
      <c r="K5" s="163" t="s">
        <v>85</v>
      </c>
      <c r="L5" s="165">
        <f>D5/VLOOKUP(E5,'Kursy walut'!C:E,2,0)</f>
        <v>0</v>
      </c>
      <c r="M5" s="52" t="s">
        <v>86</v>
      </c>
      <c r="N5" s="165">
        <f>D5/VLOOKUP(E5,'Kursy walut'!C:E,3,0)</f>
        <v>0</v>
      </c>
      <c r="O5" s="52" t="s">
        <v>85</v>
      </c>
    </row>
    <row r="6" spans="1:15" ht="15.75" customHeight="1" x14ac:dyDescent="0.15">
      <c r="A6" s="73" t="s">
        <v>83</v>
      </c>
      <c r="B6" s="74" t="s">
        <v>90</v>
      </c>
      <c r="C6" s="125"/>
      <c r="D6" s="131" t="s">
        <v>877</v>
      </c>
      <c r="E6" s="163" t="s">
        <v>91</v>
      </c>
      <c r="F6" s="163" t="s">
        <v>91</v>
      </c>
      <c r="G6" s="77"/>
      <c r="H6" s="73" t="s">
        <v>83</v>
      </c>
      <c r="I6" s="74" t="s">
        <v>90</v>
      </c>
      <c r="J6" s="164" t="str">
        <f>IF(E6="USD",D6*VLOOKUP(K6,'Kursy walut'!C:E,2,0),IF(E6="EUR",D6*VLOOKUP(K6,'Kursy walut'!C:E,3,0),D6))</f>
        <v>319.00</v>
      </c>
      <c r="K6" s="163" t="s">
        <v>91</v>
      </c>
      <c r="L6" s="165" t="e">
        <f>D6/VLOOKUP(E6,'Kursy walut'!C:E,2,0)</f>
        <v>#VALUE!</v>
      </c>
      <c r="M6" s="52" t="s">
        <v>86</v>
      </c>
      <c r="N6" s="165" t="e">
        <f>D6/VLOOKUP(E6,'Kursy walut'!C:E,3,0)</f>
        <v>#VALUE!</v>
      </c>
      <c r="O6" s="52" t="s">
        <v>85</v>
      </c>
    </row>
    <row r="7" spans="1:15" ht="15.75" customHeight="1" x14ac:dyDescent="0.15">
      <c r="A7" s="73" t="s">
        <v>528</v>
      </c>
      <c r="B7" s="74" t="s">
        <v>216</v>
      </c>
      <c r="C7" s="125"/>
      <c r="E7" s="163" t="s">
        <v>217</v>
      </c>
      <c r="F7" s="163" t="s">
        <v>217</v>
      </c>
      <c r="G7" s="77"/>
      <c r="H7" s="73" t="s">
        <v>528</v>
      </c>
      <c r="I7" s="74" t="s">
        <v>216</v>
      </c>
      <c r="J7" s="164">
        <f>IF(E7="USD",D7*VLOOKUP(K7,'Kursy walut'!C:E,2,0),IF(E7="EUR",D7*VLOOKUP(K7,'Kursy walut'!C:E,3,0),D7))</f>
        <v>0</v>
      </c>
      <c r="K7" s="163" t="s">
        <v>217</v>
      </c>
      <c r="L7" s="165">
        <f>D7/VLOOKUP(E7,'Kursy walut'!C:E,2,0)</f>
        <v>0</v>
      </c>
      <c r="M7" s="52" t="s">
        <v>86</v>
      </c>
      <c r="N7" s="165">
        <f>D7/VLOOKUP(E7,'Kursy walut'!C:E,3,0)</f>
        <v>0</v>
      </c>
      <c r="O7" s="52" t="s">
        <v>85</v>
      </c>
    </row>
    <row r="8" spans="1:15" ht="15.75" customHeight="1" x14ac:dyDescent="0.15">
      <c r="A8" s="73" t="s">
        <v>57</v>
      </c>
      <c r="B8" s="74" t="s">
        <v>92</v>
      </c>
      <c r="C8" s="167" t="s">
        <v>841</v>
      </c>
      <c r="D8" s="131" t="s">
        <v>841</v>
      </c>
      <c r="E8" s="163" t="s">
        <v>93</v>
      </c>
      <c r="F8" s="163" t="s">
        <v>93</v>
      </c>
      <c r="G8" s="77"/>
      <c r="H8" s="73" t="s">
        <v>57</v>
      </c>
      <c r="I8" s="74" t="s">
        <v>92</v>
      </c>
      <c r="J8" s="164" t="str">
        <f>IF(E8="USD",D8*VLOOKUP(K8,'Kursy walut'!C:E,2,0),IF(E8="EUR",D8*VLOOKUP(K8,'Kursy walut'!C:E,3,0),D8))</f>
        <v>6.99</v>
      </c>
      <c r="K8" s="163" t="s">
        <v>93</v>
      </c>
      <c r="L8" s="165">
        <f>D8/VLOOKUP(E8,'Kursy walut'!C:E,2,0)</f>
        <v>23348.765432098768</v>
      </c>
      <c r="M8" s="52" t="s">
        <v>86</v>
      </c>
      <c r="N8" s="165">
        <f>D8/VLOOKUP(E8,'Kursy walut'!C:E,3,0)</f>
        <v>23649.863227823367</v>
      </c>
      <c r="O8" s="52" t="s">
        <v>85</v>
      </c>
    </row>
    <row r="9" spans="1:15" ht="15.75" customHeight="1" x14ac:dyDescent="0.15">
      <c r="A9" s="73" t="s">
        <v>28</v>
      </c>
      <c r="B9" s="74" t="s">
        <v>94</v>
      </c>
      <c r="C9" s="167" t="s">
        <v>513</v>
      </c>
      <c r="D9" s="131" t="s">
        <v>513</v>
      </c>
      <c r="E9" s="163" t="s">
        <v>85</v>
      </c>
      <c r="F9" s="163" t="s">
        <v>85</v>
      </c>
      <c r="G9" s="77"/>
      <c r="H9" s="73" t="s">
        <v>28</v>
      </c>
      <c r="I9" s="74" t="s">
        <v>94</v>
      </c>
      <c r="J9" s="164">
        <f>IF(E9="USD",D9*VLOOKUP(K9,'Kursy walut'!C:E,2,0),IF(E9="EUR",D9*VLOOKUP(K9,'Kursy walut'!C:E,3,0),D9))</f>
        <v>36342</v>
      </c>
      <c r="K9" s="163" t="s">
        <v>85</v>
      </c>
      <c r="L9" s="165">
        <f>D9/VLOOKUP(E9,'Kursy walut'!C:E,2,0)</f>
        <v>35549.251687371616</v>
      </c>
      <c r="M9" s="52" t="s">
        <v>86</v>
      </c>
      <c r="N9" s="165">
        <f>D9/VLOOKUP(E9,'Kursy walut'!C:E,3,0)</f>
        <v>36342</v>
      </c>
      <c r="O9" s="52" t="s">
        <v>85</v>
      </c>
    </row>
    <row r="10" spans="1:15" ht="15.75" customHeight="1" x14ac:dyDescent="0.15">
      <c r="A10" s="73" t="s">
        <v>535</v>
      </c>
      <c r="B10" s="74" t="s">
        <v>536</v>
      </c>
      <c r="C10" s="125"/>
      <c r="E10" s="163" t="s">
        <v>224</v>
      </c>
      <c r="F10" s="163" t="s">
        <v>224</v>
      </c>
      <c r="G10" s="77"/>
      <c r="H10" s="73" t="s">
        <v>535</v>
      </c>
      <c r="I10" s="74" t="s">
        <v>536</v>
      </c>
      <c r="J10" s="164">
        <f>IF(E10="USD",D10*VLOOKUP(K10,'Kursy walut'!C:E,2,0),IF(E10="EUR",D10*VLOOKUP(K10,'Kursy walut'!C:E,3,0),D10))</f>
        <v>0</v>
      </c>
      <c r="K10" s="163" t="s">
        <v>224</v>
      </c>
      <c r="L10" s="165">
        <f>D10/VLOOKUP(E10,'Kursy walut'!C:E,2,0)</f>
        <v>0</v>
      </c>
      <c r="M10" s="52" t="s">
        <v>86</v>
      </c>
      <c r="N10" s="165">
        <f>D10/VLOOKUP(E10,'Kursy walut'!C:E,3,0)</f>
        <v>0</v>
      </c>
      <c r="O10" s="52" t="s">
        <v>85</v>
      </c>
    </row>
    <row r="11" spans="1:15" ht="15.75" customHeight="1" x14ac:dyDescent="0.15">
      <c r="A11" s="73" t="s">
        <v>547</v>
      </c>
      <c r="B11" s="74" t="s">
        <v>548</v>
      </c>
      <c r="C11" s="125"/>
      <c r="E11" s="163" t="s">
        <v>244</v>
      </c>
      <c r="F11" s="163" t="s">
        <v>244</v>
      </c>
      <c r="G11" s="77"/>
      <c r="H11" s="73" t="s">
        <v>547</v>
      </c>
      <c r="I11" s="74" t="s">
        <v>548</v>
      </c>
      <c r="J11" s="164">
        <f>IF(E11="USD",D11*VLOOKUP(K11,'Kursy walut'!C:E,2,0),IF(E11="EUR",D11*VLOOKUP(K11,'Kursy walut'!C:E,3,0),D11))</f>
        <v>0</v>
      </c>
      <c r="K11" s="163" t="s">
        <v>244</v>
      </c>
      <c r="L11" s="165">
        <f>D11/VLOOKUP(E11,'Kursy walut'!C:E,2,0)</f>
        <v>0</v>
      </c>
      <c r="M11" s="52" t="s">
        <v>86</v>
      </c>
      <c r="N11" s="165">
        <f>D11/VLOOKUP(E11,'Kursy walut'!C:E,3,0)</f>
        <v>0</v>
      </c>
      <c r="O11" s="52" t="s">
        <v>85</v>
      </c>
    </row>
    <row r="12" spans="1:15" ht="15.75" customHeight="1" x14ac:dyDescent="0.15">
      <c r="A12" s="73" t="s">
        <v>537</v>
      </c>
      <c r="B12" s="74" t="s">
        <v>538</v>
      </c>
      <c r="C12" s="167" t="s">
        <v>513</v>
      </c>
      <c r="D12" s="131" t="s">
        <v>513</v>
      </c>
      <c r="E12" s="163" t="s">
        <v>85</v>
      </c>
      <c r="F12" s="163" t="s">
        <v>85</v>
      </c>
      <c r="G12" s="77"/>
      <c r="H12" s="73" t="s">
        <v>537</v>
      </c>
      <c r="I12" s="74" t="s">
        <v>538</v>
      </c>
      <c r="J12" s="164">
        <f>IF(E12="USD",D12*VLOOKUP(K12,'Kursy walut'!C:E,2,0),IF(E12="EUR",D12*VLOOKUP(K12,'Kursy walut'!C:E,3,0),D12))</f>
        <v>36342</v>
      </c>
      <c r="K12" s="163" t="s">
        <v>85</v>
      </c>
      <c r="L12" s="165">
        <f>D12/VLOOKUP(E12,'Kursy walut'!C:E,2,0)</f>
        <v>35549.251687371616</v>
      </c>
      <c r="M12" s="52" t="s">
        <v>86</v>
      </c>
      <c r="N12" s="165">
        <f>D12/VLOOKUP(E12,'Kursy walut'!C:E,3,0)</f>
        <v>36342</v>
      </c>
      <c r="O12" s="52" t="s">
        <v>85</v>
      </c>
    </row>
    <row r="13" spans="1:15" ht="15.75" customHeight="1" x14ac:dyDescent="0.15">
      <c r="A13" s="73" t="s">
        <v>541</v>
      </c>
      <c r="B13" s="74" t="s">
        <v>542</v>
      </c>
      <c r="C13" s="125"/>
      <c r="E13" s="163" t="s">
        <v>236</v>
      </c>
      <c r="F13" s="163" t="s">
        <v>236</v>
      </c>
      <c r="G13" s="77"/>
      <c r="H13" s="73" t="s">
        <v>541</v>
      </c>
      <c r="I13" s="74" t="s">
        <v>542</v>
      </c>
      <c r="J13" s="164">
        <f>IF(E13="USD",D13*VLOOKUP(K13,'Kursy walut'!C:E,2,0),IF(E13="EUR",D13*VLOOKUP(K13,'Kursy walut'!C:E,3,0),D13))</f>
        <v>0</v>
      </c>
      <c r="K13" s="163" t="s">
        <v>236</v>
      </c>
      <c r="L13" s="165">
        <f>D13/VLOOKUP(E13,'Kursy walut'!C:E,2,0)</f>
        <v>0</v>
      </c>
      <c r="M13" s="52" t="s">
        <v>86</v>
      </c>
      <c r="N13" s="165">
        <f>D13/VLOOKUP(E13,'Kursy walut'!C:E,3,0)</f>
        <v>0</v>
      </c>
      <c r="O13" s="52" t="s">
        <v>85</v>
      </c>
    </row>
    <row r="14" spans="1:15" ht="15.75" customHeight="1" x14ac:dyDescent="0.15">
      <c r="A14" s="73" t="s">
        <v>53</v>
      </c>
      <c r="B14" s="74" t="s">
        <v>95</v>
      </c>
      <c r="C14" s="125"/>
      <c r="D14" s="131" t="s">
        <v>862</v>
      </c>
      <c r="E14" s="166" t="s">
        <v>85</v>
      </c>
      <c r="F14" s="163" t="s">
        <v>96</v>
      </c>
      <c r="G14" s="77"/>
      <c r="H14" s="73" t="s">
        <v>53</v>
      </c>
      <c r="I14" s="74" t="s">
        <v>95</v>
      </c>
      <c r="J14" s="164">
        <f>IF(E14="USD",D14*VLOOKUP(K14,'Kursy walut'!C:E,2,0),IF(E14="EUR",D14*VLOOKUP(K14,'Kursy walut'!C:E,3,0),D14))</f>
        <v>70958.379799999995</v>
      </c>
      <c r="K14" s="163" t="s">
        <v>96</v>
      </c>
      <c r="L14" s="165">
        <f>D14/VLOOKUP(E14,'Kursy walut'!C:E,2,0)</f>
        <v>35489.582314389125</v>
      </c>
      <c r="M14" s="52" t="s">
        <v>86</v>
      </c>
      <c r="N14" s="165">
        <f>D14/VLOOKUP(E14,'Kursy walut'!C:E,3,0)</f>
        <v>36281</v>
      </c>
      <c r="O14" s="52" t="s">
        <v>85</v>
      </c>
    </row>
    <row r="15" spans="1:15" ht="15.75" customHeight="1" x14ac:dyDescent="0.15">
      <c r="A15" s="73" t="s">
        <v>77</v>
      </c>
      <c r="B15" s="74" t="s">
        <v>97</v>
      </c>
      <c r="C15" s="167" t="s">
        <v>878</v>
      </c>
      <c r="D15" s="131" t="s">
        <v>878</v>
      </c>
      <c r="E15" s="163" t="s">
        <v>98</v>
      </c>
      <c r="F15" s="163" t="s">
        <v>98</v>
      </c>
      <c r="G15" s="77"/>
      <c r="H15" s="73" t="s">
        <v>77</v>
      </c>
      <c r="I15" s="74" t="s">
        <v>97</v>
      </c>
      <c r="J15" s="164" t="str">
        <f>IF(E15="USD",D15*VLOOKUP(K15,'Kursy walut'!C:E,2,0),IF(E15="EUR",D15*VLOOKUP(K15,'Kursy walut'!C:E,3,0),D15))</f>
        <v>14.90</v>
      </c>
      <c r="K15" s="163" t="s">
        <v>98</v>
      </c>
      <c r="L15" s="165" t="e">
        <f>D15/VLOOKUP(E15,'Kursy walut'!C:E,2,0)</f>
        <v>#VALUE!</v>
      </c>
      <c r="M15" s="52" t="s">
        <v>86</v>
      </c>
      <c r="N15" s="165" t="e">
        <f>D15/VLOOKUP(E15,'Kursy walut'!C:E,3,0)</f>
        <v>#VALUE!</v>
      </c>
      <c r="O15" s="52" t="s">
        <v>85</v>
      </c>
    </row>
    <row r="16" spans="1:15" ht="15.75" customHeight="1" x14ac:dyDescent="0.15">
      <c r="A16" s="73" t="s">
        <v>54</v>
      </c>
      <c r="B16" s="74" t="s">
        <v>99</v>
      </c>
      <c r="C16" s="125"/>
      <c r="D16" s="131" t="s">
        <v>862</v>
      </c>
      <c r="E16" s="166" t="s">
        <v>85</v>
      </c>
      <c r="F16" s="163" t="s">
        <v>100</v>
      </c>
      <c r="G16" s="77"/>
      <c r="H16" s="73" t="s">
        <v>54</v>
      </c>
      <c r="I16" s="74" t="s">
        <v>99</v>
      </c>
      <c r="J16" s="164">
        <f>IF(E16="USD",D16*VLOOKUP(K16,'Kursy walut'!C:E,2,0),IF(E16="EUR",D16*VLOOKUP(K16,'Kursy walut'!C:E,3,0),D16))</f>
        <v>70958.379799999995</v>
      </c>
      <c r="K16" s="163" t="s">
        <v>100</v>
      </c>
      <c r="L16" s="165">
        <f>D16/VLOOKUP(E16,'Kursy walut'!C:E,2,0)</f>
        <v>35489.582314389125</v>
      </c>
      <c r="M16" s="52" t="s">
        <v>86</v>
      </c>
      <c r="N16" s="165">
        <f>D16/VLOOKUP(E16,'Kursy walut'!C:E,3,0)</f>
        <v>36281</v>
      </c>
      <c r="O16" s="52" t="s">
        <v>85</v>
      </c>
    </row>
    <row r="17" spans="1:15" ht="15.75" customHeight="1" x14ac:dyDescent="0.15">
      <c r="A17" s="73" t="s">
        <v>642</v>
      </c>
      <c r="B17" s="74" t="s">
        <v>643</v>
      </c>
      <c r="C17" s="125"/>
      <c r="E17" s="163" t="s">
        <v>347</v>
      </c>
      <c r="F17" s="163" t="s">
        <v>347</v>
      </c>
      <c r="G17" s="77"/>
      <c r="H17" s="73" t="s">
        <v>642</v>
      </c>
      <c r="I17" s="74" t="s">
        <v>643</v>
      </c>
      <c r="J17" s="164">
        <f>IF(E17="USD",D17*VLOOKUP(K17,'Kursy walut'!C:E,2,0),IF(E17="EUR",D17*VLOOKUP(K17,'Kursy walut'!C:E,3,0),D17))</f>
        <v>0</v>
      </c>
      <c r="K17" s="163" t="s">
        <v>347</v>
      </c>
      <c r="L17" s="165">
        <f>D17/VLOOKUP(E17,'Kursy walut'!C:E,2,0)</f>
        <v>0</v>
      </c>
      <c r="M17" s="52" t="s">
        <v>86</v>
      </c>
      <c r="N17" s="165">
        <f>D17/VLOOKUP(E17,'Kursy walut'!C:E,3,0)</f>
        <v>0</v>
      </c>
      <c r="O17" s="52" t="s">
        <v>85</v>
      </c>
    </row>
    <row r="18" spans="1:15" ht="15.75" customHeight="1" x14ac:dyDescent="0.15">
      <c r="A18" s="73" t="s">
        <v>560</v>
      </c>
      <c r="B18" s="74" t="s">
        <v>561</v>
      </c>
      <c r="C18" s="125"/>
      <c r="E18" s="163" t="s">
        <v>255</v>
      </c>
      <c r="F18" s="163" t="s">
        <v>255</v>
      </c>
      <c r="G18" s="77"/>
      <c r="H18" s="73" t="s">
        <v>560</v>
      </c>
      <c r="I18" s="74" t="s">
        <v>561</v>
      </c>
      <c r="J18" s="164">
        <f>IF(E18="USD",D18*VLOOKUP(K18,'Kursy walut'!C:E,2,0),IF(E18="EUR",D18*VLOOKUP(K18,'Kursy walut'!C:E,3,0),D18))</f>
        <v>0</v>
      </c>
      <c r="K18" s="163" t="s">
        <v>255</v>
      </c>
      <c r="L18" s="165">
        <f>D18/VLOOKUP(E18,'Kursy walut'!C:E,2,0)</f>
        <v>0</v>
      </c>
      <c r="M18" s="52" t="s">
        <v>86</v>
      </c>
      <c r="N18" s="165">
        <f>D18/VLOOKUP(E18,'Kursy walut'!C:E,3,0)</f>
        <v>0</v>
      </c>
      <c r="O18" s="52" t="s">
        <v>85</v>
      </c>
    </row>
    <row r="19" spans="1:15" ht="15.75" customHeight="1" x14ac:dyDescent="0.15">
      <c r="A19" s="73" t="s">
        <v>37</v>
      </c>
      <c r="B19" s="74" t="s">
        <v>101</v>
      </c>
      <c r="C19" s="167" t="s">
        <v>523</v>
      </c>
      <c r="D19" s="131" t="s">
        <v>523</v>
      </c>
      <c r="E19" s="163" t="s">
        <v>102</v>
      </c>
      <c r="F19" s="163" t="s">
        <v>102</v>
      </c>
      <c r="G19" s="77"/>
      <c r="H19" s="73" t="s">
        <v>37</v>
      </c>
      <c r="I19" s="74" t="s">
        <v>101</v>
      </c>
      <c r="J19" s="164" t="str">
        <f>IF(E19="USD",D19*VLOOKUP(K19,'Kursy walut'!C:E,2,0),IF(E19="EUR",D19*VLOOKUP(K19,'Kursy walut'!C:E,3,0),D19))</f>
        <v>9.99</v>
      </c>
      <c r="K19" s="163" t="s">
        <v>102</v>
      </c>
      <c r="L19" s="165">
        <f>D19/VLOOKUP(E19,'Kursy walut'!C:E,2,0)</f>
        <v>26485.267369952708</v>
      </c>
      <c r="M19" s="52" t="s">
        <v>86</v>
      </c>
      <c r="N19" s="165">
        <f>D19/VLOOKUP(E19,'Kursy walut'!C:E,3,0)</f>
        <v>27074.222817194703</v>
      </c>
      <c r="O19" s="52" t="s">
        <v>85</v>
      </c>
    </row>
    <row r="20" spans="1:15" ht="15.75" customHeight="1" x14ac:dyDescent="0.15">
      <c r="A20" s="73" t="s">
        <v>68</v>
      </c>
      <c r="B20" s="74" t="s">
        <v>103</v>
      </c>
      <c r="C20" s="125"/>
      <c r="D20" s="131" t="s">
        <v>879</v>
      </c>
      <c r="E20" s="163" t="s">
        <v>104</v>
      </c>
      <c r="F20" s="163" t="s">
        <v>104</v>
      </c>
      <c r="G20" s="77"/>
      <c r="H20" s="73" t="s">
        <v>68</v>
      </c>
      <c r="I20" s="74" t="s">
        <v>103</v>
      </c>
      <c r="J20" s="164" t="str">
        <f>IF(E20="USD",D20*VLOOKUP(K20,'Kursy walut'!C:E,2,0),IF(E20="EUR",D20*VLOOKUP(K20,'Kursy walut'!C:E,3,0),D20))</f>
        <v>4,990.00</v>
      </c>
      <c r="K20" s="163" t="s">
        <v>104</v>
      </c>
      <c r="L20" s="165" t="e">
        <f>D20/VLOOKUP(E20,'Kursy walut'!C:E,2,0)</f>
        <v>#VALUE!</v>
      </c>
      <c r="M20" s="52" t="s">
        <v>86</v>
      </c>
      <c r="N20" s="165" t="e">
        <f>D20/VLOOKUP(E20,'Kursy walut'!C:E,3,0)</f>
        <v>#VALUE!</v>
      </c>
      <c r="O20" s="52" t="s">
        <v>85</v>
      </c>
    </row>
    <row r="21" spans="1:15" ht="15.75" customHeight="1" x14ac:dyDescent="0.15">
      <c r="A21" s="73" t="s">
        <v>562</v>
      </c>
      <c r="B21" s="74" t="s">
        <v>563</v>
      </c>
      <c r="C21" s="167" t="s">
        <v>811</v>
      </c>
      <c r="D21" s="131" t="s">
        <v>811</v>
      </c>
      <c r="E21" s="163" t="s">
        <v>258</v>
      </c>
      <c r="F21" s="163" t="s">
        <v>258</v>
      </c>
      <c r="G21" s="77"/>
      <c r="H21" s="73" t="s">
        <v>562</v>
      </c>
      <c r="I21" s="74" t="s">
        <v>563</v>
      </c>
      <c r="J21" s="164" t="str">
        <f>IF(E21="USD",D21*VLOOKUP(K21,'Kursy walut'!C:E,2,0),IF(E21="EUR",D21*VLOOKUP(K21,'Kursy walut'!C:E,3,0),D21))</f>
        <v>79.00</v>
      </c>
      <c r="K21" s="163" t="s">
        <v>258</v>
      </c>
      <c r="L21" s="165" t="e">
        <f>D21/VLOOKUP(E21,'Kursy walut'!C:E,2,0)</f>
        <v>#VALUE!</v>
      </c>
      <c r="M21" s="52" t="s">
        <v>86</v>
      </c>
      <c r="N21" s="165" t="e">
        <f>D21/VLOOKUP(E21,'Kursy walut'!C:E,3,0)</f>
        <v>#VALUE!</v>
      </c>
      <c r="O21" s="52" t="s">
        <v>85</v>
      </c>
    </row>
    <row r="22" spans="1:15" ht="15.75" customHeight="1" x14ac:dyDescent="0.15">
      <c r="A22" s="73" t="s">
        <v>80</v>
      </c>
      <c r="B22" s="74" t="s">
        <v>105</v>
      </c>
      <c r="C22" s="125"/>
      <c r="D22" s="168">
        <v>17900</v>
      </c>
      <c r="E22" s="163" t="s">
        <v>106</v>
      </c>
      <c r="F22" s="163" t="s">
        <v>106</v>
      </c>
      <c r="G22" s="77"/>
      <c r="H22" s="73" t="s">
        <v>80</v>
      </c>
      <c r="I22" s="74" t="s">
        <v>105</v>
      </c>
      <c r="J22" s="164">
        <f>IF(E22="USD",D22*VLOOKUP(K22,'Kursy walut'!C:E,2,0),IF(E22="EUR",D22*VLOOKUP(K22,'Kursy walut'!C:E,3,0),D22))</f>
        <v>17900</v>
      </c>
      <c r="K22" s="163" t="s">
        <v>106</v>
      </c>
      <c r="L22" s="165">
        <f>D22/VLOOKUP(E22,'Kursy walut'!C:E,2,0)</f>
        <v>3.8936919427963144</v>
      </c>
      <c r="M22" s="52" t="s">
        <v>86</v>
      </c>
      <c r="N22" s="165">
        <f>D22/VLOOKUP(E22,'Kursy walut'!C:E,3,0)</f>
        <v>3.9975047530666497</v>
      </c>
      <c r="O22" s="52" t="s">
        <v>85</v>
      </c>
    </row>
    <row r="23" spans="1:15" ht="15.75" customHeight="1" x14ac:dyDescent="0.15">
      <c r="A23" s="73" t="s">
        <v>568</v>
      </c>
      <c r="B23" s="74" t="s">
        <v>569</v>
      </c>
      <c r="C23" s="125"/>
      <c r="D23" s="131" t="s">
        <v>670</v>
      </c>
      <c r="E23" s="163" t="s">
        <v>263</v>
      </c>
      <c r="F23" s="163" t="s">
        <v>263</v>
      </c>
      <c r="G23" s="77"/>
      <c r="H23" s="73" t="s">
        <v>568</v>
      </c>
      <c r="I23" s="74" t="s">
        <v>569</v>
      </c>
      <c r="J23" s="164" t="str">
        <f>IF(E23="USD",D23*VLOOKUP(K23,'Kursy walut'!C:E,2,0),IF(E23="EUR",D23*VLOOKUP(K23,'Kursy walut'!C:E,3,0),D23))</f>
        <v>3,600.00</v>
      </c>
      <c r="K23" s="163" t="s">
        <v>263</v>
      </c>
      <c r="L23" s="165" t="e">
        <f>D23/VLOOKUP(E23,'Kursy walut'!C:E,2,0)</f>
        <v>#VALUE!</v>
      </c>
      <c r="M23" s="52" t="s">
        <v>86</v>
      </c>
      <c r="N23" s="165" t="e">
        <f>D23/VLOOKUP(E23,'Kursy walut'!C:E,3,0)</f>
        <v>#VALUE!</v>
      </c>
      <c r="O23" s="52" t="s">
        <v>85</v>
      </c>
    </row>
    <row r="24" spans="1:15" ht="15.75" customHeight="1" x14ac:dyDescent="0.15">
      <c r="A24" s="73" t="s">
        <v>555</v>
      </c>
      <c r="B24" s="74" t="s">
        <v>556</v>
      </c>
      <c r="C24" s="125"/>
      <c r="E24" s="163" t="s">
        <v>251</v>
      </c>
      <c r="F24" s="163" t="s">
        <v>251</v>
      </c>
      <c r="G24" s="77"/>
      <c r="H24" s="73" t="s">
        <v>555</v>
      </c>
      <c r="I24" s="74" t="s">
        <v>556</v>
      </c>
      <c r="J24" s="164">
        <f>IF(E24="USD",D24*VLOOKUP(K24,'Kursy walut'!C:E,2,0),IF(E24="EUR",D24*VLOOKUP(K24,'Kursy walut'!C:E,3,0),D24))</f>
        <v>0</v>
      </c>
      <c r="K24" s="163" t="s">
        <v>251</v>
      </c>
      <c r="L24" s="165">
        <f>D24/VLOOKUP(E24,'Kursy walut'!C:E,2,0)</f>
        <v>0</v>
      </c>
      <c r="M24" s="52" t="s">
        <v>86</v>
      </c>
      <c r="N24" s="165">
        <f>D24/VLOOKUP(E24,'Kursy walut'!C:E,3,0)</f>
        <v>0</v>
      </c>
      <c r="O24" s="52" t="s">
        <v>85</v>
      </c>
    </row>
    <row r="25" spans="1:15" ht="15.75" customHeight="1" x14ac:dyDescent="0.15">
      <c r="A25" s="73" t="s">
        <v>46</v>
      </c>
      <c r="B25" s="74" t="s">
        <v>107</v>
      </c>
      <c r="C25" s="125"/>
      <c r="D25" s="131" t="s">
        <v>862</v>
      </c>
      <c r="E25" s="166" t="s">
        <v>85</v>
      </c>
      <c r="F25" s="163" t="s">
        <v>108</v>
      </c>
      <c r="G25" s="77"/>
      <c r="H25" s="73" t="s">
        <v>46</v>
      </c>
      <c r="I25" s="74" t="s">
        <v>107</v>
      </c>
      <c r="J25" s="164">
        <f>IF(E25="USD",D25*VLOOKUP(K25,'Kursy walut'!C:E,2,0),IF(E25="EUR",D25*VLOOKUP(K25,'Kursy walut'!C:E,3,0),D25))</f>
        <v>275267.57510000002</v>
      </c>
      <c r="K25" s="163" t="s">
        <v>108</v>
      </c>
      <c r="L25" s="165">
        <f>D25/VLOOKUP(E25,'Kursy walut'!C:E,2,0)</f>
        <v>35489.582314389125</v>
      </c>
      <c r="M25" s="52" t="s">
        <v>86</v>
      </c>
      <c r="N25" s="165">
        <f>D25/VLOOKUP(E25,'Kursy walut'!C:E,3,0)</f>
        <v>36281</v>
      </c>
      <c r="O25" s="52" t="s">
        <v>85</v>
      </c>
    </row>
    <row r="26" spans="1:15" ht="15.75" customHeight="1" x14ac:dyDescent="0.15">
      <c r="A26" s="73" t="s">
        <v>572</v>
      </c>
      <c r="B26" s="74" t="s">
        <v>573</v>
      </c>
      <c r="C26" s="125"/>
      <c r="E26" s="163" t="s">
        <v>86</v>
      </c>
      <c r="F26" s="163" t="s">
        <v>86</v>
      </c>
      <c r="G26" s="77"/>
      <c r="H26" s="73" t="s">
        <v>572</v>
      </c>
      <c r="I26" s="74" t="s">
        <v>573</v>
      </c>
      <c r="J26" s="164">
        <f>IF(E26="USD",D26*VLOOKUP(K26,'Kursy walut'!C:E,2,0),IF(E26="EUR",D26*VLOOKUP(K26,'Kursy walut'!C:E,3,0),D26))</f>
        <v>0</v>
      </c>
      <c r="K26" s="163" t="s">
        <v>86</v>
      </c>
      <c r="L26" s="165">
        <f>D26/VLOOKUP(E26,'Kursy walut'!C:E,2,0)</f>
        <v>0</v>
      </c>
      <c r="M26" s="52" t="s">
        <v>86</v>
      </c>
      <c r="N26" s="165">
        <f>D26/VLOOKUP(E26,'Kursy walut'!C:E,3,0)</f>
        <v>0</v>
      </c>
      <c r="O26" s="52" t="s">
        <v>85</v>
      </c>
    </row>
    <row r="27" spans="1:15" ht="15.75" customHeight="1" x14ac:dyDescent="0.15">
      <c r="A27" s="73" t="s">
        <v>574</v>
      </c>
      <c r="B27" s="74" t="s">
        <v>575</v>
      </c>
      <c r="C27" s="125"/>
      <c r="D27" s="131" t="s">
        <v>862</v>
      </c>
      <c r="E27" s="163" t="s">
        <v>85</v>
      </c>
      <c r="F27" s="163" t="s">
        <v>85</v>
      </c>
      <c r="G27" s="77"/>
      <c r="H27" s="73" t="s">
        <v>574</v>
      </c>
      <c r="I27" s="74" t="s">
        <v>575</v>
      </c>
      <c r="J27" s="164">
        <f>IF(E27="USD",D27*VLOOKUP(K27,'Kursy walut'!C:E,2,0),IF(E27="EUR",D27*VLOOKUP(K27,'Kursy walut'!C:E,3,0),D27))</f>
        <v>36281</v>
      </c>
      <c r="K27" s="163" t="s">
        <v>85</v>
      </c>
      <c r="L27" s="165">
        <f>D27/VLOOKUP(E27,'Kursy walut'!C:E,2,0)</f>
        <v>35489.582314389125</v>
      </c>
      <c r="M27" s="52" t="s">
        <v>86</v>
      </c>
      <c r="N27" s="165">
        <f>D27/VLOOKUP(E27,'Kursy walut'!C:E,3,0)</f>
        <v>36281</v>
      </c>
      <c r="O27" s="52" t="s">
        <v>85</v>
      </c>
    </row>
    <row r="28" spans="1:15" ht="15.75" customHeight="1" x14ac:dyDescent="0.15">
      <c r="A28" s="73" t="s">
        <v>41</v>
      </c>
      <c r="B28" s="74" t="s">
        <v>109</v>
      </c>
      <c r="C28" s="125"/>
      <c r="D28" s="131" t="s">
        <v>811</v>
      </c>
      <c r="E28" s="163" t="s">
        <v>110</v>
      </c>
      <c r="F28" s="163" t="s">
        <v>110</v>
      </c>
      <c r="G28" s="77"/>
      <c r="H28" s="73" t="s">
        <v>41</v>
      </c>
      <c r="I28" s="74" t="s">
        <v>109</v>
      </c>
      <c r="J28" s="164" t="str">
        <f>IF(E28="USD",D28*VLOOKUP(K28,'Kursy walut'!C:E,2,0),IF(E28="EUR",D28*VLOOKUP(K28,'Kursy walut'!C:E,3,0),D28))</f>
        <v>79.00</v>
      </c>
      <c r="K28" s="163" t="s">
        <v>110</v>
      </c>
      <c r="L28" s="165" t="e">
        <f>D28/VLOOKUP(E28,'Kursy walut'!C:E,2,0)</f>
        <v>#VALUE!</v>
      </c>
      <c r="M28" s="52" t="s">
        <v>86</v>
      </c>
      <c r="N28" s="165" t="e">
        <f>D28/VLOOKUP(E28,'Kursy walut'!C:E,3,0)</f>
        <v>#VALUE!</v>
      </c>
      <c r="O28" s="52" t="s">
        <v>85</v>
      </c>
    </row>
    <row r="29" spans="1:15" ht="15.75" customHeight="1" x14ac:dyDescent="0.15">
      <c r="A29" s="73" t="s">
        <v>581</v>
      </c>
      <c r="B29" s="74" t="s">
        <v>582</v>
      </c>
      <c r="C29" s="125"/>
      <c r="D29" s="131" t="s">
        <v>663</v>
      </c>
      <c r="E29" s="163" t="s">
        <v>274</v>
      </c>
      <c r="F29" s="163" t="s">
        <v>274</v>
      </c>
      <c r="G29" s="77"/>
      <c r="H29" s="73" t="s">
        <v>581</v>
      </c>
      <c r="I29" s="74" t="s">
        <v>582</v>
      </c>
      <c r="J29" s="164" t="str">
        <f>IF(E29="USD",D29*VLOOKUP(K29,'Kursy walut'!C:E,2,0),IF(E29="EUR",D29*VLOOKUP(K29,'Kursy walut'!C:E,3,0),D29))</f>
        <v>45.00</v>
      </c>
      <c r="K29" s="163" t="s">
        <v>274</v>
      </c>
      <c r="L29" s="165" t="e">
        <f>D29/VLOOKUP(E29,'Kursy walut'!C:E,2,0)</f>
        <v>#VALUE!</v>
      </c>
      <c r="M29" s="52" t="s">
        <v>86</v>
      </c>
      <c r="N29" s="165" t="e">
        <f>D29/VLOOKUP(E29,'Kursy walut'!C:E,3,0)</f>
        <v>#VALUE!</v>
      </c>
      <c r="O29" s="52" t="s">
        <v>85</v>
      </c>
    </row>
    <row r="30" spans="1:15" ht="15.75" customHeight="1" x14ac:dyDescent="0.15">
      <c r="A30" s="73" t="s">
        <v>586</v>
      </c>
      <c r="B30" s="74" t="s">
        <v>587</v>
      </c>
      <c r="C30" s="125"/>
      <c r="E30" s="163" t="s">
        <v>277</v>
      </c>
      <c r="F30" s="163" t="s">
        <v>277</v>
      </c>
      <c r="G30" s="77"/>
      <c r="H30" s="73" t="s">
        <v>586</v>
      </c>
      <c r="I30" s="74" t="s">
        <v>587</v>
      </c>
      <c r="J30" s="164">
        <f>IF(E30="USD",D30*VLOOKUP(K30,'Kursy walut'!C:E,2,0),IF(E30="EUR",D30*VLOOKUP(K30,'Kursy walut'!C:E,3,0),D30))</f>
        <v>0</v>
      </c>
      <c r="K30" s="163" t="s">
        <v>277</v>
      </c>
      <c r="L30" s="165">
        <f>D30/VLOOKUP(E30,'Kursy walut'!C:E,2,0)</f>
        <v>0</v>
      </c>
      <c r="M30" s="52" t="s">
        <v>86</v>
      </c>
      <c r="N30" s="165">
        <f>D30/VLOOKUP(E30,'Kursy walut'!C:E,3,0)</f>
        <v>0</v>
      </c>
      <c r="O30" s="52" t="s">
        <v>85</v>
      </c>
    </row>
    <row r="31" spans="1:15" ht="15.75" customHeight="1" x14ac:dyDescent="0.15">
      <c r="A31" s="73" t="s">
        <v>590</v>
      </c>
      <c r="B31" s="74" t="s">
        <v>591</v>
      </c>
      <c r="C31" s="125"/>
      <c r="E31" s="163" t="s">
        <v>86</v>
      </c>
      <c r="F31" s="163" t="s">
        <v>86</v>
      </c>
      <c r="G31" s="77"/>
      <c r="H31" s="73" t="s">
        <v>590</v>
      </c>
      <c r="I31" s="74" t="s">
        <v>591</v>
      </c>
      <c r="J31" s="164">
        <f>IF(E31="USD",D31*VLOOKUP(K31,'Kursy walut'!C:E,2,0),IF(E31="EUR",D31*VLOOKUP(K31,'Kursy walut'!C:E,3,0),D31))</f>
        <v>0</v>
      </c>
      <c r="K31" s="163" t="s">
        <v>86</v>
      </c>
      <c r="L31" s="165">
        <f>D31/VLOOKUP(E31,'Kursy walut'!C:E,2,0)</f>
        <v>0</v>
      </c>
      <c r="M31" s="52" t="s">
        <v>86</v>
      </c>
      <c r="N31" s="165">
        <f>D31/VLOOKUP(E31,'Kursy walut'!C:E,3,0)</f>
        <v>0</v>
      </c>
      <c r="O31" s="52" t="s">
        <v>85</v>
      </c>
    </row>
    <row r="32" spans="1:15" ht="15.75" customHeight="1" x14ac:dyDescent="0.15">
      <c r="A32" s="73" t="s">
        <v>71</v>
      </c>
      <c r="B32" s="74" t="s">
        <v>111</v>
      </c>
      <c r="C32" s="169" t="s">
        <v>880</v>
      </c>
      <c r="D32" s="52">
        <v>29</v>
      </c>
      <c r="E32" s="163" t="s">
        <v>112</v>
      </c>
      <c r="F32" s="163" t="s">
        <v>112</v>
      </c>
      <c r="G32" s="77"/>
      <c r="H32" s="73" t="s">
        <v>71</v>
      </c>
      <c r="I32" s="74" t="s">
        <v>111</v>
      </c>
      <c r="J32" s="164">
        <f>IF(E32="USD",D32*VLOOKUP(K32,'Kursy walut'!C:E,2,0),IF(E32="EUR",D32*VLOOKUP(K32,'Kursy walut'!C:E,3,0),D32))</f>
        <v>29</v>
      </c>
      <c r="K32" s="163" t="s">
        <v>112</v>
      </c>
      <c r="L32" s="165">
        <f>D32/VLOOKUP(E32,'Kursy walut'!C:E,2,0)</f>
        <v>1.4759095929034194</v>
      </c>
      <c r="M32" s="52" t="s">
        <v>86</v>
      </c>
      <c r="N32" s="165">
        <f>D32/VLOOKUP(E32,'Kursy walut'!C:E,3,0)</f>
        <v>1.5086644158087221</v>
      </c>
      <c r="O32" s="52" t="s">
        <v>85</v>
      </c>
    </row>
    <row r="33" spans="1:15" ht="15.75" customHeight="1" x14ac:dyDescent="0.15">
      <c r="A33" s="73" t="s">
        <v>723</v>
      </c>
      <c r="B33" s="74" t="s">
        <v>724</v>
      </c>
      <c r="C33" s="125"/>
      <c r="E33" s="163" t="s">
        <v>86</v>
      </c>
      <c r="F33" s="163" t="s">
        <v>86</v>
      </c>
      <c r="G33" s="77"/>
      <c r="H33" s="73" t="s">
        <v>723</v>
      </c>
      <c r="I33" s="74" t="s">
        <v>724</v>
      </c>
      <c r="J33" s="164">
        <f>IF(E33="USD",D33*VLOOKUP(K33,'Kursy walut'!C:E,2,0),IF(E33="EUR",D33*VLOOKUP(K33,'Kursy walut'!C:E,3,0),D33))</f>
        <v>0</v>
      </c>
      <c r="K33" s="163" t="s">
        <v>86</v>
      </c>
      <c r="L33" s="165">
        <f>D33/VLOOKUP(E33,'Kursy walut'!C:E,2,0)</f>
        <v>0</v>
      </c>
      <c r="M33" s="52" t="s">
        <v>86</v>
      </c>
      <c r="N33" s="165">
        <f>D33/VLOOKUP(E33,'Kursy walut'!C:E,3,0)</f>
        <v>0</v>
      </c>
      <c r="O33" s="52" t="s">
        <v>85</v>
      </c>
    </row>
    <row r="34" spans="1:15" ht="15.75" customHeight="1" x14ac:dyDescent="0.15">
      <c r="A34" s="73" t="s">
        <v>42</v>
      </c>
      <c r="B34" s="74" t="s">
        <v>113</v>
      </c>
      <c r="C34" s="125"/>
      <c r="D34" s="131" t="s">
        <v>862</v>
      </c>
      <c r="E34" s="163" t="s">
        <v>85</v>
      </c>
      <c r="F34" s="163" t="s">
        <v>85</v>
      </c>
      <c r="G34" s="77"/>
      <c r="H34" s="73" t="s">
        <v>42</v>
      </c>
      <c r="I34" s="74" t="s">
        <v>113</v>
      </c>
      <c r="J34" s="164">
        <f>IF(E34="USD",D34*VLOOKUP(K34,'Kursy walut'!C:E,2,0),IF(E34="EUR",D34*VLOOKUP(K34,'Kursy walut'!C:E,3,0),D34))</f>
        <v>36281</v>
      </c>
      <c r="K34" s="163" t="s">
        <v>85</v>
      </c>
      <c r="L34" s="165">
        <f>D34/VLOOKUP(E34,'Kursy walut'!C:E,2,0)</f>
        <v>35489.582314389125</v>
      </c>
      <c r="M34" s="52" t="s">
        <v>86</v>
      </c>
      <c r="N34" s="165">
        <f>D34/VLOOKUP(E34,'Kursy walut'!C:E,3,0)</f>
        <v>36281</v>
      </c>
      <c r="O34" s="52" t="s">
        <v>85</v>
      </c>
    </row>
    <row r="35" spans="1:15" ht="15.75" customHeight="1" x14ac:dyDescent="0.15">
      <c r="A35" s="73" t="s">
        <v>32</v>
      </c>
      <c r="B35" s="74" t="s">
        <v>114</v>
      </c>
      <c r="C35" s="125"/>
      <c r="D35" s="131" t="s">
        <v>862</v>
      </c>
      <c r="E35" s="163" t="s">
        <v>85</v>
      </c>
      <c r="F35" s="163" t="s">
        <v>85</v>
      </c>
      <c r="G35" s="77"/>
      <c r="H35" s="73" t="s">
        <v>32</v>
      </c>
      <c r="I35" s="74" t="s">
        <v>114</v>
      </c>
      <c r="J35" s="164">
        <f>IF(E35="USD",D35*VLOOKUP(K35,'Kursy walut'!C:E,2,0),IF(E35="EUR",D35*VLOOKUP(K35,'Kursy walut'!C:E,3,0),D35))</f>
        <v>36281</v>
      </c>
      <c r="K35" s="163" t="s">
        <v>85</v>
      </c>
      <c r="L35" s="165">
        <f>D35/VLOOKUP(E35,'Kursy walut'!C:E,2,0)</f>
        <v>35489.582314389125</v>
      </c>
      <c r="M35" s="52" t="s">
        <v>86</v>
      </c>
      <c r="N35" s="165">
        <f>D35/VLOOKUP(E35,'Kursy walut'!C:E,3,0)</f>
        <v>36281</v>
      </c>
      <c r="O35" s="52" t="s">
        <v>85</v>
      </c>
    </row>
    <row r="36" spans="1:15" ht="15.75" customHeight="1" x14ac:dyDescent="0.15">
      <c r="A36" s="73" t="s">
        <v>31</v>
      </c>
      <c r="B36" s="74" t="s">
        <v>115</v>
      </c>
      <c r="C36" s="167" t="s">
        <v>862</v>
      </c>
      <c r="D36" s="131" t="s">
        <v>862</v>
      </c>
      <c r="E36" s="163" t="s">
        <v>85</v>
      </c>
      <c r="F36" s="163" t="s">
        <v>85</v>
      </c>
      <c r="G36" s="77"/>
      <c r="H36" s="73" t="s">
        <v>31</v>
      </c>
      <c r="I36" s="74" t="s">
        <v>115</v>
      </c>
      <c r="J36" s="164">
        <f>IF(E36="USD",D36*VLOOKUP(K36,'Kursy walut'!C:E,2,0),IF(E36="EUR",D36*VLOOKUP(K36,'Kursy walut'!C:E,3,0),D36))</f>
        <v>36281</v>
      </c>
      <c r="K36" s="163" t="s">
        <v>85</v>
      </c>
      <c r="L36" s="165">
        <f>D36/VLOOKUP(E36,'Kursy walut'!C:E,2,0)</f>
        <v>35489.582314389125</v>
      </c>
      <c r="M36" s="52" t="s">
        <v>86</v>
      </c>
      <c r="N36" s="165">
        <f>D36/VLOOKUP(E36,'Kursy walut'!C:E,3,0)</f>
        <v>36281</v>
      </c>
      <c r="O36" s="52" t="s">
        <v>85</v>
      </c>
    </row>
    <row r="37" spans="1:15" ht="15.75" customHeight="1" x14ac:dyDescent="0.15">
      <c r="A37" s="73" t="s">
        <v>598</v>
      </c>
      <c r="B37" s="74" t="s">
        <v>599</v>
      </c>
      <c r="C37" s="125"/>
      <c r="D37" s="131" t="s">
        <v>862</v>
      </c>
      <c r="E37" s="166" t="s">
        <v>85</v>
      </c>
      <c r="F37" s="163" t="s">
        <v>294</v>
      </c>
      <c r="G37" s="77"/>
      <c r="H37" s="73" t="s">
        <v>598</v>
      </c>
      <c r="I37" s="74" t="s">
        <v>599</v>
      </c>
      <c r="J37" s="164">
        <f>IF(E37="USD",D37*VLOOKUP(K37,'Kursy walut'!C:E,2,0),IF(E37="EUR",D37*VLOOKUP(K37,'Kursy walut'!C:E,3,0),D37))</f>
        <v>99224.906900000002</v>
      </c>
      <c r="K37" s="163" t="s">
        <v>294</v>
      </c>
      <c r="L37" s="165">
        <f>D37/VLOOKUP(E37,'Kursy walut'!C:E,2,0)</f>
        <v>35489.582314389125</v>
      </c>
      <c r="M37" s="52" t="s">
        <v>86</v>
      </c>
      <c r="N37" s="165">
        <f>D37/VLOOKUP(E37,'Kursy walut'!C:E,3,0)</f>
        <v>36281</v>
      </c>
      <c r="O37" s="52" t="s">
        <v>85</v>
      </c>
    </row>
    <row r="38" spans="1:15" ht="15.75" customHeight="1" x14ac:dyDescent="0.15">
      <c r="A38" s="73" t="s">
        <v>29</v>
      </c>
      <c r="B38" s="74" t="s">
        <v>116</v>
      </c>
      <c r="C38" s="167" t="s">
        <v>513</v>
      </c>
      <c r="D38" s="131" t="s">
        <v>513</v>
      </c>
      <c r="E38" s="163" t="s">
        <v>85</v>
      </c>
      <c r="F38" s="163" t="s">
        <v>85</v>
      </c>
      <c r="G38" s="77"/>
      <c r="H38" s="73" t="s">
        <v>29</v>
      </c>
      <c r="I38" s="74" t="s">
        <v>116</v>
      </c>
      <c r="J38" s="164">
        <f>IF(E38="USD",D38*VLOOKUP(K38,'Kursy walut'!C:E,2,0),IF(E38="EUR",D38*VLOOKUP(K38,'Kursy walut'!C:E,3,0),D38))</f>
        <v>36342</v>
      </c>
      <c r="K38" s="163" t="s">
        <v>85</v>
      </c>
      <c r="L38" s="165">
        <f>D38/VLOOKUP(E38,'Kursy walut'!C:E,2,0)</f>
        <v>35549.251687371616</v>
      </c>
      <c r="M38" s="52" t="s">
        <v>86</v>
      </c>
      <c r="N38" s="165">
        <f>D38/VLOOKUP(E38,'Kursy walut'!C:E,3,0)</f>
        <v>36342</v>
      </c>
      <c r="O38" s="52" t="s">
        <v>85</v>
      </c>
    </row>
    <row r="39" spans="1:15" ht="15.75" customHeight="1" x14ac:dyDescent="0.15">
      <c r="A39" s="73" t="s">
        <v>602</v>
      </c>
      <c r="B39" s="74" t="s">
        <v>296</v>
      </c>
      <c r="C39" s="125"/>
      <c r="E39" s="163" t="s">
        <v>297</v>
      </c>
      <c r="F39" s="163" t="s">
        <v>297</v>
      </c>
      <c r="G39" s="77"/>
      <c r="H39" s="73" t="s">
        <v>602</v>
      </c>
      <c r="I39" s="74" t="s">
        <v>296</v>
      </c>
      <c r="J39" s="164">
        <f>IF(E39="USD",D39*VLOOKUP(K39,'Kursy walut'!C:E,2,0),IF(E39="EUR",D39*VLOOKUP(K39,'Kursy walut'!C:E,3,0),D39))</f>
        <v>0</v>
      </c>
      <c r="K39" s="163" t="s">
        <v>297</v>
      </c>
      <c r="L39" s="165">
        <f>D39/VLOOKUP(E39,'Kursy walut'!C:E,2,0)</f>
        <v>0</v>
      </c>
      <c r="M39" s="52" t="s">
        <v>86</v>
      </c>
      <c r="N39" s="165">
        <f>D39/VLOOKUP(E39,'Kursy walut'!C:E,3,0)</f>
        <v>0</v>
      </c>
      <c r="O39" s="52" t="s">
        <v>85</v>
      </c>
    </row>
    <row r="40" spans="1:15" ht="15.75" customHeight="1" x14ac:dyDescent="0.15">
      <c r="A40" s="73" t="s">
        <v>40</v>
      </c>
      <c r="B40" s="74" t="s">
        <v>117</v>
      </c>
      <c r="C40" s="125"/>
      <c r="D40" s="131" t="s">
        <v>862</v>
      </c>
      <c r="E40" s="163" t="s">
        <v>85</v>
      </c>
      <c r="F40" s="163" t="s">
        <v>85</v>
      </c>
      <c r="G40" s="77"/>
      <c r="H40" s="73" t="s">
        <v>40</v>
      </c>
      <c r="I40" s="74" t="s">
        <v>117</v>
      </c>
      <c r="J40" s="164">
        <f>IF(E40="USD",D40*VLOOKUP(K40,'Kursy walut'!C:E,2,0),IF(E40="EUR",D40*VLOOKUP(K40,'Kursy walut'!C:E,3,0),D40))</f>
        <v>36281</v>
      </c>
      <c r="K40" s="163" t="s">
        <v>85</v>
      </c>
      <c r="L40" s="165">
        <f>D40/VLOOKUP(E40,'Kursy walut'!C:E,2,0)</f>
        <v>35489.582314389125</v>
      </c>
      <c r="M40" s="52" t="s">
        <v>86</v>
      </c>
      <c r="N40" s="165">
        <f>D40/VLOOKUP(E40,'Kursy walut'!C:E,3,0)</f>
        <v>36281</v>
      </c>
      <c r="O40" s="52" t="s">
        <v>85</v>
      </c>
    </row>
    <row r="41" spans="1:15" ht="13" x14ac:dyDescent="0.15">
      <c r="A41" s="73" t="s">
        <v>603</v>
      </c>
      <c r="B41" s="74" t="s">
        <v>604</v>
      </c>
      <c r="C41" s="125"/>
      <c r="E41" s="163" t="s">
        <v>302</v>
      </c>
      <c r="F41" s="163" t="s">
        <v>302</v>
      </c>
      <c r="G41" s="77"/>
      <c r="H41" s="73" t="s">
        <v>603</v>
      </c>
      <c r="I41" s="74" t="s">
        <v>604</v>
      </c>
      <c r="J41" s="164">
        <f>IF(E41="USD",D41*VLOOKUP(K41,'Kursy walut'!C:E,2,0),IF(E41="EUR",D41*VLOOKUP(K41,'Kursy walut'!C:E,3,0),D41))</f>
        <v>0</v>
      </c>
      <c r="K41" s="163" t="s">
        <v>302</v>
      </c>
      <c r="L41" s="165">
        <f>D41/VLOOKUP(E41,'Kursy walut'!C:E,2,0)</f>
        <v>0</v>
      </c>
      <c r="M41" s="52" t="s">
        <v>86</v>
      </c>
      <c r="N41" s="165">
        <f>D41/VLOOKUP(E41,'Kursy walut'!C:E,3,0)</f>
        <v>0</v>
      </c>
      <c r="O41" s="52" t="s">
        <v>85</v>
      </c>
    </row>
    <row r="42" spans="1:15" ht="13" x14ac:dyDescent="0.15">
      <c r="A42" s="73" t="s">
        <v>608</v>
      </c>
      <c r="B42" s="74" t="s">
        <v>306</v>
      </c>
      <c r="C42" s="125"/>
      <c r="E42" s="163" t="s">
        <v>307</v>
      </c>
      <c r="F42" s="163" t="s">
        <v>307</v>
      </c>
      <c r="G42" s="77"/>
      <c r="H42" s="73" t="s">
        <v>608</v>
      </c>
      <c r="I42" s="74" t="s">
        <v>306</v>
      </c>
      <c r="J42" s="164">
        <f>IF(E42="USD",D42*VLOOKUP(K42,'Kursy walut'!C:E,2,0),IF(E42="EUR",D42*VLOOKUP(K42,'Kursy walut'!C:E,3,0),D42))</f>
        <v>0</v>
      </c>
      <c r="K42" s="163" t="s">
        <v>307</v>
      </c>
      <c r="L42" s="165">
        <f>D42/VLOOKUP(E42,'Kursy walut'!C:E,2,0)</f>
        <v>0</v>
      </c>
      <c r="M42" s="52" t="s">
        <v>86</v>
      </c>
      <c r="N42" s="165">
        <f>D42/VLOOKUP(E42,'Kursy walut'!C:E,3,0)</f>
        <v>0</v>
      </c>
      <c r="O42" s="52" t="s">
        <v>85</v>
      </c>
    </row>
    <row r="43" spans="1:15" ht="13" x14ac:dyDescent="0.15">
      <c r="A43" s="73" t="s">
        <v>65</v>
      </c>
      <c r="B43" s="74" t="s">
        <v>118</v>
      </c>
      <c r="C43" s="125"/>
      <c r="D43" s="131" t="s">
        <v>862</v>
      </c>
      <c r="E43" s="166" t="s">
        <v>86</v>
      </c>
      <c r="F43" s="163" t="s">
        <v>119</v>
      </c>
      <c r="G43" s="77"/>
      <c r="H43" s="73" t="s">
        <v>65</v>
      </c>
      <c r="I43" s="74" t="s">
        <v>118</v>
      </c>
      <c r="J43" s="164">
        <f>IF(E43="USD",D43*VLOOKUP(K43,'Kursy walut'!C:E,2,0),IF(E43="EUR",D43*VLOOKUP(K43,'Kursy walut'!C:E,3,0),D43))</f>
        <v>284802.2219</v>
      </c>
      <c r="K43" s="163" t="s">
        <v>119</v>
      </c>
      <c r="L43" s="165">
        <f>D43/VLOOKUP(E43,'Kursy walut'!C:E,2,0)</f>
        <v>36281</v>
      </c>
      <c r="M43" s="52" t="s">
        <v>86</v>
      </c>
      <c r="N43" s="165">
        <f>D43/VLOOKUP(E43,'Kursy walut'!C:E,3,0)</f>
        <v>37089.552238805969</v>
      </c>
      <c r="O43" s="52" t="s">
        <v>85</v>
      </c>
    </row>
    <row r="44" spans="1:15" ht="13" x14ac:dyDescent="0.15">
      <c r="A44" s="73" t="s">
        <v>72</v>
      </c>
      <c r="B44" s="74" t="s">
        <v>120</v>
      </c>
      <c r="C44" s="125"/>
      <c r="D44" s="131" t="s">
        <v>881</v>
      </c>
      <c r="E44" s="163" t="s">
        <v>121</v>
      </c>
      <c r="F44" s="163" t="s">
        <v>121</v>
      </c>
      <c r="G44" s="77"/>
      <c r="H44" s="73" t="s">
        <v>72</v>
      </c>
      <c r="I44" s="74" t="s">
        <v>120</v>
      </c>
      <c r="J44" s="164" t="str">
        <f>IF(E44="USD",D44*VLOOKUP(K44,'Kursy walut'!C:E,2,0),IF(E44="EUR",D44*VLOOKUP(K44,'Kursy walut'!C:E,3,0),D44))</f>
        <v>899.00</v>
      </c>
      <c r="K44" s="163" t="s">
        <v>121</v>
      </c>
      <c r="L44" s="165" t="e">
        <f>D44/VLOOKUP(E44,'Kursy walut'!C:E,2,0)</f>
        <v>#VALUE!</v>
      </c>
      <c r="M44" s="52" t="s">
        <v>86</v>
      </c>
      <c r="N44" s="165" t="e">
        <f>D44/VLOOKUP(E44,'Kursy walut'!C:E,3,0)</f>
        <v>#VALUE!</v>
      </c>
      <c r="O44" s="52" t="s">
        <v>85</v>
      </c>
    </row>
    <row r="45" spans="1:15" ht="13" x14ac:dyDescent="0.15">
      <c r="A45" s="73" t="s">
        <v>626</v>
      </c>
      <c r="B45" s="74" t="s">
        <v>627</v>
      </c>
      <c r="C45" s="125"/>
      <c r="D45" s="131" t="s">
        <v>862</v>
      </c>
      <c r="E45" s="166" t="s">
        <v>85</v>
      </c>
      <c r="F45" s="163" t="s">
        <v>328</v>
      </c>
      <c r="G45" s="77"/>
      <c r="H45" s="73" t="s">
        <v>626</v>
      </c>
      <c r="I45" s="74" t="s">
        <v>627</v>
      </c>
      <c r="J45" s="164">
        <f>IF(E45="USD",D45*VLOOKUP(K45,'Kursy walut'!C:E,2,0),IF(E45="EUR",D45*VLOOKUP(K45,'Kursy walut'!C:E,3,0),D45))</f>
        <v>5129650.8626999995</v>
      </c>
      <c r="K45" s="163" t="s">
        <v>328</v>
      </c>
      <c r="L45" s="165">
        <f>D45/VLOOKUP(E45,'Kursy walut'!C:E,2,0)</f>
        <v>35489.582314389125</v>
      </c>
      <c r="M45" s="52" t="s">
        <v>86</v>
      </c>
      <c r="N45" s="165">
        <f>D45/VLOOKUP(E45,'Kursy walut'!C:E,3,0)</f>
        <v>36281</v>
      </c>
      <c r="O45" s="52" t="s">
        <v>85</v>
      </c>
    </row>
    <row r="46" spans="1:15" ht="13" x14ac:dyDescent="0.15">
      <c r="A46" s="73" t="s">
        <v>82</v>
      </c>
      <c r="B46" s="74" t="s">
        <v>122</v>
      </c>
      <c r="C46" s="167" t="s">
        <v>882</v>
      </c>
      <c r="D46" s="131" t="s">
        <v>882</v>
      </c>
      <c r="E46" s="163" t="s">
        <v>123</v>
      </c>
      <c r="F46" s="163" t="s">
        <v>123</v>
      </c>
      <c r="G46" s="77"/>
      <c r="H46" s="73" t="s">
        <v>82</v>
      </c>
      <c r="I46" s="74" t="s">
        <v>122</v>
      </c>
      <c r="J46" s="164" t="str">
        <f>IF(E46="USD",D46*VLOOKUP(K46,'Kursy walut'!C:E,2,0),IF(E46="EUR",D46*VLOOKUP(K46,'Kursy walut'!C:E,3,0),D46))</f>
        <v>179.00</v>
      </c>
      <c r="K46" s="163" t="s">
        <v>123</v>
      </c>
      <c r="L46" s="165" t="e">
        <f>D46/VLOOKUP(E46,'Kursy walut'!C:E,2,0)</f>
        <v>#VALUE!</v>
      </c>
      <c r="M46" s="52" t="s">
        <v>86</v>
      </c>
      <c r="N46" s="165" t="e">
        <f>D46/VLOOKUP(E46,'Kursy walut'!C:E,3,0)</f>
        <v>#VALUE!</v>
      </c>
      <c r="O46" s="52" t="s">
        <v>85</v>
      </c>
    </row>
    <row r="47" spans="1:15" ht="13" x14ac:dyDescent="0.15">
      <c r="A47" s="73" t="s">
        <v>76</v>
      </c>
      <c r="B47" s="74" t="s">
        <v>124</v>
      </c>
      <c r="C47" s="125"/>
      <c r="D47" s="131" t="s">
        <v>883</v>
      </c>
      <c r="E47" s="163" t="s">
        <v>125</v>
      </c>
      <c r="F47" s="163" t="s">
        <v>125</v>
      </c>
      <c r="G47" s="77"/>
      <c r="H47" s="73" t="s">
        <v>76</v>
      </c>
      <c r="I47" s="74" t="s">
        <v>124</v>
      </c>
      <c r="J47" s="164" t="str">
        <f>IF(E47="USD",D47*VLOOKUP(K47,'Kursy walut'!C:E,2,0),IF(E47="EUR",D47*VLOOKUP(K47,'Kursy walut'!C:E,3,0),D47))</f>
        <v>59,000.00</v>
      </c>
      <c r="K47" s="163" t="s">
        <v>125</v>
      </c>
      <c r="L47" s="165" t="e">
        <f>D47/VLOOKUP(E47,'Kursy walut'!C:E,2,0)</f>
        <v>#VALUE!</v>
      </c>
      <c r="M47" s="52" t="s">
        <v>86</v>
      </c>
      <c r="N47" s="165" t="e">
        <f>D47/VLOOKUP(E47,'Kursy walut'!C:E,3,0)</f>
        <v>#VALUE!</v>
      </c>
      <c r="O47" s="52" t="s">
        <v>85</v>
      </c>
    </row>
    <row r="48" spans="1:15" ht="13" x14ac:dyDescent="0.15">
      <c r="A48" s="73" t="s">
        <v>625</v>
      </c>
      <c r="B48" s="74" t="s">
        <v>324</v>
      </c>
      <c r="C48" s="125"/>
      <c r="E48" s="163" t="s">
        <v>325</v>
      </c>
      <c r="F48" s="163" t="s">
        <v>325</v>
      </c>
      <c r="G48" s="77"/>
      <c r="H48" s="73" t="s">
        <v>625</v>
      </c>
      <c r="I48" s="74" t="s">
        <v>324</v>
      </c>
      <c r="J48" s="164">
        <f>IF(E48="USD",D48*VLOOKUP(K48,'Kursy walut'!C:E,2,0),IF(E48="EUR",D48*VLOOKUP(K48,'Kursy walut'!C:E,3,0),D48))</f>
        <v>0</v>
      </c>
      <c r="K48" s="163" t="s">
        <v>325</v>
      </c>
      <c r="L48" s="165">
        <f>D48/VLOOKUP(E48,'Kursy walut'!C:E,2,0)</f>
        <v>0</v>
      </c>
      <c r="M48" s="52" t="s">
        <v>86</v>
      </c>
      <c r="N48" s="165">
        <f>D48/VLOOKUP(E48,'Kursy walut'!C:E,3,0)</f>
        <v>0</v>
      </c>
      <c r="O48" s="52" t="s">
        <v>85</v>
      </c>
    </row>
    <row r="49" spans="1:15" ht="13" x14ac:dyDescent="0.15">
      <c r="A49" s="73" t="s">
        <v>623</v>
      </c>
      <c r="B49" s="74" t="s">
        <v>624</v>
      </c>
      <c r="C49" s="125"/>
      <c r="E49" s="163" t="s">
        <v>322</v>
      </c>
      <c r="F49" s="163" t="s">
        <v>322</v>
      </c>
      <c r="G49" s="77"/>
      <c r="H49" s="73" t="s">
        <v>623</v>
      </c>
      <c r="I49" s="74" t="s">
        <v>624</v>
      </c>
      <c r="J49" s="164">
        <f>IF(E49="USD",D49*VLOOKUP(K49,'Kursy walut'!C:E,2,0),IF(E49="EUR",D49*VLOOKUP(K49,'Kursy walut'!C:E,3,0),D49))</f>
        <v>0</v>
      </c>
      <c r="K49" s="163" t="s">
        <v>322</v>
      </c>
      <c r="L49" s="165">
        <f>D49/VLOOKUP(E49,'Kursy walut'!C:E,2,0)</f>
        <v>0</v>
      </c>
      <c r="M49" s="52" t="s">
        <v>86</v>
      </c>
      <c r="N49" s="165">
        <f>D49/VLOOKUP(E49,'Kursy walut'!C:E,3,0)</f>
        <v>0</v>
      </c>
      <c r="O49" s="52" t="s">
        <v>85</v>
      </c>
    </row>
    <row r="50" spans="1:15" ht="13" x14ac:dyDescent="0.15">
      <c r="A50" s="73" t="s">
        <v>30</v>
      </c>
      <c r="B50" s="74" t="s">
        <v>126</v>
      </c>
      <c r="C50" s="125"/>
      <c r="D50" s="131" t="s">
        <v>862</v>
      </c>
      <c r="E50" s="166" t="s">
        <v>85</v>
      </c>
      <c r="F50" s="163" t="s">
        <v>85</v>
      </c>
      <c r="G50" s="77"/>
      <c r="H50" s="73" t="s">
        <v>30</v>
      </c>
      <c r="I50" s="74" t="s">
        <v>126</v>
      </c>
      <c r="J50" s="164">
        <f>IF(E50="USD",D50*VLOOKUP(K50,'Kursy walut'!C:E,2,0),IF(E50="EUR",D50*VLOOKUP(K50,'Kursy walut'!C:E,3,0),D50))</f>
        <v>36281</v>
      </c>
      <c r="K50" s="166" t="s">
        <v>85</v>
      </c>
      <c r="L50" s="165">
        <f>D50/VLOOKUP(E50,'Kursy walut'!C:E,2,0)</f>
        <v>35489.582314389125</v>
      </c>
      <c r="M50" s="52" t="s">
        <v>86</v>
      </c>
      <c r="N50" s="165">
        <f>D50/VLOOKUP(E50,'Kursy walut'!C:E,3,0)</f>
        <v>36281</v>
      </c>
      <c r="O50" s="52" t="s">
        <v>85</v>
      </c>
    </row>
    <row r="51" spans="1:15" ht="13" x14ac:dyDescent="0.15">
      <c r="A51" s="73" t="s">
        <v>38</v>
      </c>
      <c r="B51" s="74" t="s">
        <v>127</v>
      </c>
      <c r="C51" s="125"/>
      <c r="D51" s="131" t="s">
        <v>862</v>
      </c>
      <c r="E51" s="166" t="s">
        <v>86</v>
      </c>
      <c r="F51" s="163" t="s">
        <v>128</v>
      </c>
      <c r="G51" s="77"/>
      <c r="H51" s="73" t="s">
        <v>38</v>
      </c>
      <c r="I51" s="74" t="s">
        <v>127</v>
      </c>
      <c r="J51" s="164">
        <f>IF(E51="USD",D51*VLOOKUP(K51,'Kursy walut'!C:E,2,0),IF(E51="EUR",D51*VLOOKUP(K51,'Kursy walut'!C:E,3,0),D51))</f>
        <v>128866.48389999999</v>
      </c>
      <c r="K51" s="163" t="s">
        <v>128</v>
      </c>
      <c r="L51" s="165">
        <f>D51/VLOOKUP(E51,'Kursy walut'!C:E,2,0)</f>
        <v>36281</v>
      </c>
      <c r="M51" s="52" t="s">
        <v>86</v>
      </c>
      <c r="N51" s="165">
        <f>D51/VLOOKUP(E51,'Kursy walut'!C:E,3,0)</f>
        <v>37089.552238805969</v>
      </c>
      <c r="O51" s="52" t="s">
        <v>85</v>
      </c>
    </row>
    <row r="52" spans="1:15" ht="13" x14ac:dyDescent="0.15">
      <c r="A52" s="73" t="s">
        <v>34</v>
      </c>
      <c r="B52" s="74" t="s">
        <v>129</v>
      </c>
      <c r="C52" s="167" t="s">
        <v>851</v>
      </c>
      <c r="D52" s="131" t="s">
        <v>851</v>
      </c>
      <c r="E52" s="163" t="s">
        <v>85</v>
      </c>
      <c r="F52" s="163" t="s">
        <v>85</v>
      </c>
      <c r="G52" s="77"/>
      <c r="H52" s="73" t="s">
        <v>34</v>
      </c>
      <c r="I52" s="74" t="s">
        <v>129</v>
      </c>
      <c r="J52" s="164">
        <f>IF(E52="USD",D52*VLOOKUP(K52,'Kursy walut'!C:E,2,0),IF(E52="EUR",D52*VLOOKUP(K52,'Kursy walut'!C:E,3,0),D52))</f>
        <v>36251</v>
      </c>
      <c r="K52" s="163" t="s">
        <v>85</v>
      </c>
      <c r="L52" s="165">
        <f>D52/VLOOKUP(E52,'Kursy walut'!C:E,2,0)</f>
        <v>35460.236721119043</v>
      </c>
      <c r="M52" s="52" t="s">
        <v>86</v>
      </c>
      <c r="N52" s="165">
        <f>D52/VLOOKUP(E52,'Kursy walut'!C:E,3,0)</f>
        <v>36251</v>
      </c>
      <c r="O52" s="52" t="s">
        <v>85</v>
      </c>
    </row>
    <row r="53" spans="1:15" ht="13" x14ac:dyDescent="0.15">
      <c r="A53" s="73" t="s">
        <v>628</v>
      </c>
      <c r="B53" s="74" t="s">
        <v>629</v>
      </c>
      <c r="C53" s="125"/>
      <c r="E53" s="163" t="s">
        <v>333</v>
      </c>
      <c r="F53" s="163" t="s">
        <v>333</v>
      </c>
      <c r="G53" s="77"/>
      <c r="H53" s="73" t="s">
        <v>628</v>
      </c>
      <c r="I53" s="74" t="s">
        <v>629</v>
      </c>
      <c r="J53" s="164">
        <f>IF(E53="USD",D53*VLOOKUP(K53,'Kursy walut'!C:E,2,0),IF(E53="EUR",D53*VLOOKUP(K53,'Kursy walut'!C:E,3,0),D53))</f>
        <v>0</v>
      </c>
      <c r="K53" s="163" t="s">
        <v>333</v>
      </c>
      <c r="L53" s="165">
        <f>D53/VLOOKUP(E53,'Kursy walut'!C:E,2,0)</f>
        <v>0</v>
      </c>
      <c r="M53" s="52" t="s">
        <v>86</v>
      </c>
      <c r="N53" s="165">
        <f>D53/VLOOKUP(E53,'Kursy walut'!C:E,3,0)</f>
        <v>0</v>
      </c>
      <c r="O53" s="52" t="s">
        <v>85</v>
      </c>
    </row>
    <row r="54" spans="1:15" ht="13" x14ac:dyDescent="0.15">
      <c r="A54" s="73" t="s">
        <v>67</v>
      </c>
      <c r="B54" s="74" t="s">
        <v>130</v>
      </c>
      <c r="C54" s="167" t="s">
        <v>884</v>
      </c>
      <c r="D54" s="131" t="s">
        <v>884</v>
      </c>
      <c r="E54" s="163" t="s">
        <v>131</v>
      </c>
      <c r="F54" s="163" t="s">
        <v>131</v>
      </c>
      <c r="G54" s="77"/>
      <c r="H54" s="73" t="s">
        <v>67</v>
      </c>
      <c r="I54" s="74" t="s">
        <v>130</v>
      </c>
      <c r="J54" s="164" t="str">
        <f>IF(E54="USD",D54*VLOOKUP(K54,'Kursy walut'!C:E,2,0),IF(E54="EUR",D54*VLOOKUP(K54,'Kursy walut'!C:E,3,0),D54))</f>
        <v>500.00</v>
      </c>
      <c r="K54" s="163" t="s">
        <v>131</v>
      </c>
      <c r="L54" s="165" t="e">
        <f>D54/VLOOKUP(E54,'Kursy walut'!C:E,2,0)</f>
        <v>#VALUE!</v>
      </c>
      <c r="M54" s="52" t="s">
        <v>86</v>
      </c>
      <c r="N54" s="165" t="e">
        <f>D54/VLOOKUP(E54,'Kursy walut'!C:E,3,0)</f>
        <v>#VALUE!</v>
      </c>
      <c r="O54" s="52" t="s">
        <v>85</v>
      </c>
    </row>
    <row r="55" spans="1:15" ht="13" x14ac:dyDescent="0.15">
      <c r="A55" s="73" t="s">
        <v>630</v>
      </c>
      <c r="B55" s="74" t="s">
        <v>631</v>
      </c>
      <c r="C55" s="125"/>
      <c r="E55" s="163" t="s">
        <v>336</v>
      </c>
      <c r="F55" s="163" t="s">
        <v>336</v>
      </c>
      <c r="G55" s="77"/>
      <c r="H55" s="73" t="s">
        <v>630</v>
      </c>
      <c r="I55" s="74" t="s">
        <v>631</v>
      </c>
      <c r="J55" s="164">
        <f>IF(E55="USD",D55*VLOOKUP(K55,'Kursy walut'!C:E,2,0),IF(E55="EUR",D55*VLOOKUP(K55,'Kursy walut'!C:E,3,0),D55))</f>
        <v>0</v>
      </c>
      <c r="K55" s="163" t="s">
        <v>336</v>
      </c>
      <c r="L55" s="165">
        <f>D55/VLOOKUP(E55,'Kursy walut'!C:E,2,0)</f>
        <v>0</v>
      </c>
      <c r="M55" s="52" t="s">
        <v>86</v>
      </c>
      <c r="N55" s="165">
        <f>D55/VLOOKUP(E55,'Kursy walut'!C:E,3,0)</f>
        <v>0</v>
      </c>
      <c r="O55" s="52" t="s">
        <v>85</v>
      </c>
    </row>
    <row r="56" spans="1:15" ht="13" x14ac:dyDescent="0.15">
      <c r="A56" s="73" t="s">
        <v>49</v>
      </c>
      <c r="B56" s="74" t="s">
        <v>132</v>
      </c>
      <c r="C56" s="125"/>
      <c r="D56" s="52">
        <v>5.99</v>
      </c>
      <c r="E56" s="166" t="s">
        <v>86</v>
      </c>
      <c r="F56" s="163" t="s">
        <v>133</v>
      </c>
      <c r="G56" s="77"/>
      <c r="H56" s="73" t="s">
        <v>49</v>
      </c>
      <c r="I56" s="74" t="s">
        <v>132</v>
      </c>
      <c r="J56" s="164">
        <f>IF(E56="USD",D56*VLOOKUP(K56,'Kursy walut'!C:E,2,0),IF(E56="EUR",D56*VLOOKUP(K56,'Kursy walut'!C:E,3,0),D56))</f>
        <v>2845.2691680000003</v>
      </c>
      <c r="K56" s="163" t="s">
        <v>133</v>
      </c>
      <c r="L56" s="165">
        <f>D56/VLOOKUP(E56,'Kursy walut'!C:E,2,0)</f>
        <v>5.99</v>
      </c>
      <c r="M56" s="52" t="s">
        <v>86</v>
      </c>
      <c r="N56" s="165">
        <f>D56/VLOOKUP(E56,'Kursy walut'!C:E,3,0)</f>
        <v>6.1234921283991008</v>
      </c>
      <c r="O56" s="52" t="s">
        <v>85</v>
      </c>
    </row>
    <row r="57" spans="1:15" ht="13" x14ac:dyDescent="0.15">
      <c r="A57" s="73" t="s">
        <v>635</v>
      </c>
      <c r="B57" s="74" t="s">
        <v>636</v>
      </c>
      <c r="C57" s="125"/>
      <c r="E57" s="163" t="s">
        <v>341</v>
      </c>
      <c r="F57" s="163" t="s">
        <v>341</v>
      </c>
      <c r="G57" s="77"/>
      <c r="H57" s="73" t="s">
        <v>635</v>
      </c>
      <c r="I57" s="74" t="s">
        <v>636</v>
      </c>
      <c r="J57" s="164">
        <f>IF(E57="USD",D57*VLOOKUP(K57,'Kursy walut'!C:E,2,0),IF(E57="EUR",D57*VLOOKUP(K57,'Kursy walut'!C:E,3,0),D57))</f>
        <v>0</v>
      </c>
      <c r="K57" s="163" t="s">
        <v>341</v>
      </c>
      <c r="L57" s="165">
        <f>D57/VLOOKUP(E57,'Kursy walut'!C:E,2,0)</f>
        <v>0</v>
      </c>
      <c r="M57" s="52" t="s">
        <v>86</v>
      </c>
      <c r="N57" s="165">
        <f>D57/VLOOKUP(E57,'Kursy walut'!C:E,3,0)</f>
        <v>0</v>
      </c>
      <c r="O57" s="52" t="s">
        <v>85</v>
      </c>
    </row>
    <row r="58" spans="1:15" ht="13" x14ac:dyDescent="0.15">
      <c r="A58" s="73" t="s">
        <v>647</v>
      </c>
      <c r="B58" s="74" t="s">
        <v>648</v>
      </c>
      <c r="C58" s="125"/>
      <c r="E58" s="163" t="s">
        <v>352</v>
      </c>
      <c r="F58" s="163" t="s">
        <v>352</v>
      </c>
      <c r="G58" s="77"/>
      <c r="H58" s="73" t="s">
        <v>647</v>
      </c>
      <c r="I58" s="74" t="s">
        <v>648</v>
      </c>
      <c r="J58" s="164">
        <f>IF(E58="USD",D58*VLOOKUP(K58,'Kursy walut'!C:E,2,0),IF(E58="EUR",D58*VLOOKUP(K58,'Kursy walut'!C:E,3,0),D58))</f>
        <v>0</v>
      </c>
      <c r="K58" s="163" t="s">
        <v>352</v>
      </c>
      <c r="L58" s="165">
        <f>D58/VLOOKUP(E58,'Kursy walut'!C:E,2,0)</f>
        <v>0</v>
      </c>
      <c r="M58" s="52" t="s">
        <v>86</v>
      </c>
      <c r="N58" s="165">
        <f>D58/VLOOKUP(E58,'Kursy walut'!C:E,3,0)</f>
        <v>0</v>
      </c>
      <c r="O58" s="52" t="s">
        <v>85</v>
      </c>
    </row>
    <row r="59" spans="1:15" ht="13" x14ac:dyDescent="0.15">
      <c r="A59" s="73" t="s">
        <v>640</v>
      </c>
      <c r="B59" s="74" t="s">
        <v>641</v>
      </c>
      <c r="C59" s="125"/>
      <c r="E59" s="163" t="s">
        <v>344</v>
      </c>
      <c r="F59" s="163" t="s">
        <v>344</v>
      </c>
      <c r="G59" s="77"/>
      <c r="H59" s="73" t="s">
        <v>640</v>
      </c>
      <c r="I59" s="74" t="s">
        <v>641</v>
      </c>
      <c r="J59" s="164">
        <f>IF(E59="USD",D59*VLOOKUP(K59,'Kursy walut'!C:E,2,0),IF(E59="EUR",D59*VLOOKUP(K59,'Kursy walut'!C:E,3,0),D59))</f>
        <v>0</v>
      </c>
      <c r="K59" s="163" t="s">
        <v>344</v>
      </c>
      <c r="L59" s="165">
        <f>D59/VLOOKUP(E59,'Kursy walut'!C:E,2,0)</f>
        <v>0</v>
      </c>
      <c r="M59" s="52" t="s">
        <v>86</v>
      </c>
      <c r="N59" s="165">
        <f>D59/VLOOKUP(E59,'Kursy walut'!C:E,3,0)</f>
        <v>0</v>
      </c>
      <c r="O59" s="52" t="s">
        <v>85</v>
      </c>
    </row>
    <row r="60" spans="1:15" ht="13" x14ac:dyDescent="0.15">
      <c r="A60" s="73" t="s">
        <v>650</v>
      </c>
      <c r="B60" s="74" t="s">
        <v>651</v>
      </c>
      <c r="C60" s="125"/>
      <c r="E60" s="163" t="s">
        <v>357</v>
      </c>
      <c r="F60" s="163" t="s">
        <v>357</v>
      </c>
      <c r="G60" s="77"/>
      <c r="H60" s="73" t="s">
        <v>650</v>
      </c>
      <c r="I60" s="74" t="s">
        <v>651</v>
      </c>
      <c r="J60" s="164">
        <f>IF(E60="USD",D60*VLOOKUP(K60,'Kursy walut'!C:E,2,0),IF(E60="EUR",D60*VLOOKUP(K60,'Kursy walut'!C:E,3,0),D60))</f>
        <v>0</v>
      </c>
      <c r="K60" s="163" t="s">
        <v>357</v>
      </c>
      <c r="L60" s="165">
        <f>D60/VLOOKUP(E60,'Kursy walut'!C:E,2,0)</f>
        <v>0</v>
      </c>
      <c r="M60" s="52" t="s">
        <v>86</v>
      </c>
      <c r="N60" s="165">
        <f>D60/VLOOKUP(E60,'Kursy walut'!C:E,3,0)</f>
        <v>0</v>
      </c>
      <c r="O60" s="52" t="s">
        <v>85</v>
      </c>
    </row>
    <row r="61" spans="1:15" ht="13" x14ac:dyDescent="0.15">
      <c r="A61" s="73" t="s">
        <v>44</v>
      </c>
      <c r="B61" s="74" t="s">
        <v>134</v>
      </c>
      <c r="C61" s="125"/>
      <c r="D61" s="131" t="s">
        <v>862</v>
      </c>
      <c r="E61" s="163" t="s">
        <v>85</v>
      </c>
      <c r="F61" s="163" t="s">
        <v>85</v>
      </c>
      <c r="G61" s="77"/>
      <c r="H61" s="73" t="s">
        <v>44</v>
      </c>
      <c r="I61" s="74" t="s">
        <v>134</v>
      </c>
      <c r="J61" s="164">
        <f>IF(E61="USD",D61*VLOOKUP(K61,'Kursy walut'!C:E,2,0),IF(E61="EUR",D61*VLOOKUP(K61,'Kursy walut'!C:E,3,0),D61))</f>
        <v>36281</v>
      </c>
      <c r="K61" s="163" t="s">
        <v>85</v>
      </c>
      <c r="L61" s="165">
        <f>D61/VLOOKUP(E61,'Kursy walut'!C:E,2,0)</f>
        <v>35489.582314389125</v>
      </c>
      <c r="M61" s="52" t="s">
        <v>86</v>
      </c>
      <c r="N61" s="165">
        <f>D61/VLOOKUP(E61,'Kursy walut'!C:E,3,0)</f>
        <v>36281</v>
      </c>
      <c r="O61" s="52" t="s">
        <v>85</v>
      </c>
    </row>
    <row r="62" spans="1:15" ht="13" x14ac:dyDescent="0.15">
      <c r="A62" s="73" t="s">
        <v>43</v>
      </c>
      <c r="B62" s="74" t="s">
        <v>135</v>
      </c>
      <c r="C62" s="125"/>
      <c r="D62" s="131" t="s">
        <v>862</v>
      </c>
      <c r="E62" s="163" t="s">
        <v>85</v>
      </c>
      <c r="F62" s="163" t="s">
        <v>85</v>
      </c>
      <c r="G62" s="77"/>
      <c r="H62" s="73" t="s">
        <v>43</v>
      </c>
      <c r="I62" s="74" t="s">
        <v>135</v>
      </c>
      <c r="J62" s="164">
        <f>IF(E62="USD",D62*VLOOKUP(K62,'Kursy walut'!C:E,2,0),IF(E62="EUR",D62*VLOOKUP(K62,'Kursy walut'!C:E,3,0),D62))</f>
        <v>36281</v>
      </c>
      <c r="K62" s="163" t="s">
        <v>85</v>
      </c>
      <c r="L62" s="165">
        <f>D62/VLOOKUP(E62,'Kursy walut'!C:E,2,0)</f>
        <v>35489.582314389125</v>
      </c>
      <c r="M62" s="52" t="s">
        <v>86</v>
      </c>
      <c r="N62" s="165">
        <f>D62/VLOOKUP(E62,'Kursy walut'!C:E,3,0)</f>
        <v>36281</v>
      </c>
      <c r="O62" s="52" t="s">
        <v>85</v>
      </c>
    </row>
    <row r="63" spans="1:15" ht="13" x14ac:dyDescent="0.15">
      <c r="A63" s="73" t="s">
        <v>653</v>
      </c>
      <c r="B63" s="74" t="s">
        <v>654</v>
      </c>
      <c r="C63" s="167" t="s">
        <v>862</v>
      </c>
      <c r="D63" s="131" t="s">
        <v>862</v>
      </c>
      <c r="E63" s="163" t="s">
        <v>85</v>
      </c>
      <c r="F63" s="163" t="s">
        <v>85</v>
      </c>
      <c r="G63" s="77"/>
      <c r="H63" s="73" t="s">
        <v>653</v>
      </c>
      <c r="I63" s="74" t="s">
        <v>654</v>
      </c>
      <c r="J63" s="164">
        <f>IF(E63="USD",D63*VLOOKUP(K63,'Kursy walut'!C:E,2,0),IF(E63="EUR",D63*VLOOKUP(K63,'Kursy walut'!C:E,3,0),D63))</f>
        <v>36281</v>
      </c>
      <c r="K63" s="163" t="s">
        <v>85</v>
      </c>
      <c r="L63" s="165">
        <f>D63/VLOOKUP(E63,'Kursy walut'!C:E,2,0)</f>
        <v>35489.582314389125</v>
      </c>
      <c r="M63" s="52" t="s">
        <v>86</v>
      </c>
      <c r="N63" s="165">
        <f>D63/VLOOKUP(E63,'Kursy walut'!C:E,3,0)</f>
        <v>36281</v>
      </c>
      <c r="O63" s="52" t="s">
        <v>85</v>
      </c>
    </row>
    <row r="64" spans="1:15" ht="13" x14ac:dyDescent="0.15">
      <c r="A64" s="73" t="s">
        <v>655</v>
      </c>
      <c r="B64" s="74" t="s">
        <v>656</v>
      </c>
      <c r="C64" s="125"/>
      <c r="E64" s="163" t="s">
        <v>381</v>
      </c>
      <c r="F64" s="163" t="s">
        <v>381</v>
      </c>
      <c r="G64" s="77"/>
      <c r="H64" s="73" t="s">
        <v>655</v>
      </c>
      <c r="I64" s="74" t="s">
        <v>656</v>
      </c>
      <c r="J64" s="164">
        <f>IF(E64="USD",D64*VLOOKUP(K64,'Kursy walut'!C:E,2,0),IF(E64="EUR",D64*VLOOKUP(K64,'Kursy walut'!C:E,3,0),D64))</f>
        <v>0</v>
      </c>
      <c r="K64" s="163" t="s">
        <v>381</v>
      </c>
      <c r="L64" s="165">
        <f>D64/VLOOKUP(E64,'Kursy walut'!C:E,2,0)</f>
        <v>0</v>
      </c>
      <c r="M64" s="52" t="s">
        <v>86</v>
      </c>
      <c r="N64" s="165">
        <f>D64/VLOOKUP(E64,'Kursy walut'!C:E,3,0)</f>
        <v>0</v>
      </c>
      <c r="O64" s="52" t="s">
        <v>85</v>
      </c>
    </row>
    <row r="65" spans="1:15" ht="13" x14ac:dyDescent="0.15">
      <c r="A65" s="73" t="s">
        <v>73</v>
      </c>
      <c r="B65" s="74" t="s">
        <v>136</v>
      </c>
      <c r="C65" s="125"/>
      <c r="D65" s="131" t="s">
        <v>885</v>
      </c>
      <c r="E65" s="163" t="s">
        <v>137</v>
      </c>
      <c r="F65" s="163" t="s">
        <v>137</v>
      </c>
      <c r="G65" s="77"/>
      <c r="H65" s="73" t="s">
        <v>73</v>
      </c>
      <c r="I65" s="74" t="s">
        <v>136</v>
      </c>
      <c r="J65" s="164" t="str">
        <f>IF(E65="USD",D65*VLOOKUP(K65,'Kursy walut'!C:E,2,0),IF(E65="EUR",D65*VLOOKUP(K65,'Kursy walut'!C:E,3,0),D65))</f>
        <v>25.00</v>
      </c>
      <c r="K65" s="163" t="s">
        <v>137</v>
      </c>
      <c r="L65" s="165" t="e">
        <f>D65/VLOOKUP(E65,'Kursy walut'!C:E,2,0)</f>
        <v>#VALUE!</v>
      </c>
      <c r="M65" s="52" t="s">
        <v>86</v>
      </c>
      <c r="N65" s="165" t="e">
        <f>D65/VLOOKUP(E65,'Kursy walut'!C:E,3,0)</f>
        <v>#VALUE!</v>
      </c>
      <c r="O65" s="52" t="s">
        <v>85</v>
      </c>
    </row>
    <row r="66" spans="1:15" ht="13" x14ac:dyDescent="0.15">
      <c r="A66" s="73" t="s">
        <v>657</v>
      </c>
      <c r="B66" s="74" t="s">
        <v>385</v>
      </c>
      <c r="C66" s="125"/>
      <c r="E66" s="163" t="s">
        <v>85</v>
      </c>
      <c r="F66" s="163" t="s">
        <v>85</v>
      </c>
      <c r="G66" s="77"/>
      <c r="H66" s="73" t="s">
        <v>657</v>
      </c>
      <c r="I66" s="74" t="s">
        <v>385</v>
      </c>
      <c r="J66" s="164">
        <f>IF(E66="USD",D66*VLOOKUP(K66,'Kursy walut'!C:E,2,0),IF(E66="EUR",D66*VLOOKUP(K66,'Kursy walut'!C:E,3,0),D66))</f>
        <v>0</v>
      </c>
      <c r="K66" s="163" t="s">
        <v>85</v>
      </c>
      <c r="L66" s="165">
        <f>D66/VLOOKUP(E66,'Kursy walut'!C:E,2,0)</f>
        <v>0</v>
      </c>
      <c r="M66" s="52" t="s">
        <v>86</v>
      </c>
      <c r="N66" s="165">
        <f>D66/VLOOKUP(E66,'Kursy walut'!C:E,3,0)</f>
        <v>0</v>
      </c>
      <c r="O66" s="52" t="s">
        <v>85</v>
      </c>
    </row>
    <row r="67" spans="1:15" ht="13" x14ac:dyDescent="0.15">
      <c r="A67" s="73" t="s">
        <v>658</v>
      </c>
      <c r="B67" s="74" t="s">
        <v>387</v>
      </c>
      <c r="C67" s="125"/>
      <c r="E67" s="163" t="s">
        <v>388</v>
      </c>
      <c r="F67" s="163" t="s">
        <v>388</v>
      </c>
      <c r="G67" s="77"/>
      <c r="H67" s="73" t="s">
        <v>658</v>
      </c>
      <c r="I67" s="74" t="s">
        <v>387</v>
      </c>
      <c r="J67" s="164">
        <f>IF(E67="USD",D67*VLOOKUP(K67,'Kursy walut'!C:E,2,0),IF(E67="EUR",D67*VLOOKUP(K67,'Kursy walut'!C:E,3,0),D67))</f>
        <v>0</v>
      </c>
      <c r="K67" s="163" t="s">
        <v>388</v>
      </c>
      <c r="L67" s="165">
        <f>D67/VLOOKUP(E67,'Kursy walut'!C:E,2,0)</f>
        <v>0</v>
      </c>
      <c r="M67" s="52" t="s">
        <v>86</v>
      </c>
      <c r="N67" s="165">
        <f>D67/VLOOKUP(E67,'Kursy walut'!C:E,3,0)</f>
        <v>0</v>
      </c>
      <c r="O67" s="52" t="s">
        <v>85</v>
      </c>
    </row>
    <row r="68" spans="1:15" ht="13" x14ac:dyDescent="0.15">
      <c r="A68" s="73" t="s">
        <v>58</v>
      </c>
      <c r="B68" s="74" t="s">
        <v>138</v>
      </c>
      <c r="C68" s="167" t="s">
        <v>886</v>
      </c>
      <c r="D68" s="131" t="s">
        <v>886</v>
      </c>
      <c r="E68" s="163" t="s">
        <v>139</v>
      </c>
      <c r="F68" s="163" t="s">
        <v>139</v>
      </c>
      <c r="G68" s="77"/>
      <c r="H68" s="73" t="s">
        <v>58</v>
      </c>
      <c r="I68" s="74" t="s">
        <v>138</v>
      </c>
      <c r="J68" s="164" t="str">
        <f>IF(E68="USD",D68*VLOOKUP(K68,'Kursy walut'!C:E,2,0),IF(E68="EUR",D68*VLOOKUP(K68,'Kursy walut'!C:E,3,0),D68))</f>
        <v>99.00</v>
      </c>
      <c r="K68" s="163" t="s">
        <v>139</v>
      </c>
      <c r="L68" s="165" t="e">
        <f>D68/VLOOKUP(E68,'Kursy walut'!C:E,2,0)</f>
        <v>#VALUE!</v>
      </c>
      <c r="M68" s="52" t="s">
        <v>86</v>
      </c>
      <c r="N68" s="165" t="e">
        <f>D68/VLOOKUP(E68,'Kursy walut'!C:E,3,0)</f>
        <v>#VALUE!</v>
      </c>
      <c r="O68" s="52" t="s">
        <v>85</v>
      </c>
    </row>
    <row r="69" spans="1:15" ht="13" x14ac:dyDescent="0.15">
      <c r="A69" s="73" t="s">
        <v>51</v>
      </c>
      <c r="B69" s="74" t="s">
        <v>140</v>
      </c>
      <c r="C69" s="125"/>
      <c r="D69" s="131" t="s">
        <v>862</v>
      </c>
      <c r="E69" s="166" t="s">
        <v>85</v>
      </c>
      <c r="F69" s="163" t="s">
        <v>141</v>
      </c>
      <c r="G69" s="77"/>
      <c r="H69" s="73" t="s">
        <v>51</v>
      </c>
      <c r="I69" s="74" t="s">
        <v>140</v>
      </c>
      <c r="J69" s="164">
        <f>IF(E69="USD",D69*VLOOKUP(K69,'Kursy walut'!C:E,2,0),IF(E69="EUR",D69*VLOOKUP(K69,'Kursy walut'!C:E,3,0),D69))</f>
        <v>690271.42170000006</v>
      </c>
      <c r="K69" s="163" t="s">
        <v>141</v>
      </c>
      <c r="L69" s="165">
        <f>D69/VLOOKUP(E69,'Kursy walut'!C:E,2,0)</f>
        <v>35489.582314389125</v>
      </c>
      <c r="M69" s="52" t="s">
        <v>86</v>
      </c>
      <c r="N69" s="165">
        <f>D69/VLOOKUP(E69,'Kursy walut'!C:E,3,0)</f>
        <v>36281</v>
      </c>
      <c r="O69" s="52" t="s">
        <v>85</v>
      </c>
    </row>
    <row r="70" spans="1:15" ht="13" x14ac:dyDescent="0.15">
      <c r="A70" s="73" t="s">
        <v>55</v>
      </c>
      <c r="B70" s="74" t="s">
        <v>142</v>
      </c>
      <c r="C70" s="125"/>
      <c r="D70" s="52">
        <v>5.99</v>
      </c>
      <c r="E70" s="163" t="s">
        <v>85</v>
      </c>
      <c r="F70" s="163" t="s">
        <v>85</v>
      </c>
      <c r="G70" s="77"/>
      <c r="H70" s="73" t="s">
        <v>55</v>
      </c>
      <c r="I70" s="74" t="s">
        <v>142</v>
      </c>
      <c r="J70" s="164">
        <f>IF(E70="USD",D70*VLOOKUP(K70,'Kursy walut'!C:E,2,0),IF(E70="EUR",D70*VLOOKUP(K70,'Kursy walut'!C:E,3,0),D70))</f>
        <v>5.99</v>
      </c>
      <c r="K70" s="163" t="s">
        <v>85</v>
      </c>
      <c r="L70" s="165">
        <f>D70/VLOOKUP(E70,'Kursy walut'!C:E,2,0)</f>
        <v>5.8593367895920965</v>
      </c>
      <c r="M70" s="52" t="s">
        <v>86</v>
      </c>
      <c r="N70" s="165">
        <f>D70/VLOOKUP(E70,'Kursy walut'!C:E,3,0)</f>
        <v>5.99</v>
      </c>
      <c r="O70" s="52" t="s">
        <v>85</v>
      </c>
    </row>
    <row r="71" spans="1:15" ht="13" x14ac:dyDescent="0.15">
      <c r="A71" s="73" t="s">
        <v>665</v>
      </c>
      <c r="B71" s="74" t="s">
        <v>666</v>
      </c>
      <c r="C71" s="125"/>
      <c r="E71" s="163" t="s">
        <v>667</v>
      </c>
      <c r="F71" s="163" t="s">
        <v>667</v>
      </c>
      <c r="G71" s="77"/>
      <c r="H71" s="73" t="s">
        <v>665</v>
      </c>
      <c r="I71" s="74" t="s">
        <v>666</v>
      </c>
      <c r="J71" s="164">
        <f>IF(E71="USD",D71*VLOOKUP(K71,'Kursy walut'!C:E,2,0),IF(E71="EUR",D71*VLOOKUP(K71,'Kursy walut'!C:E,3,0),D71))</f>
        <v>0</v>
      </c>
      <c r="K71" s="163" t="s">
        <v>667</v>
      </c>
      <c r="L71" s="165" t="e">
        <f>D71/VLOOKUP(E71,'Kursy walut'!C:E,2,0)</f>
        <v>#N/A</v>
      </c>
      <c r="M71" s="52" t="s">
        <v>86</v>
      </c>
      <c r="N71" s="165" t="e">
        <f>D71/VLOOKUP(E71,'Kursy walut'!C:E,3,0)</f>
        <v>#N/A</v>
      </c>
      <c r="O71" s="52" t="s">
        <v>85</v>
      </c>
    </row>
    <row r="72" spans="1:15" ht="13" x14ac:dyDescent="0.15">
      <c r="A72" s="73" t="s">
        <v>668</v>
      </c>
      <c r="B72" s="74" t="s">
        <v>394</v>
      </c>
      <c r="C72" s="125"/>
      <c r="E72" s="163" t="s">
        <v>395</v>
      </c>
      <c r="F72" s="163" t="s">
        <v>395</v>
      </c>
      <c r="G72" s="77"/>
      <c r="H72" s="73" t="s">
        <v>668</v>
      </c>
      <c r="I72" s="74" t="s">
        <v>394</v>
      </c>
      <c r="J72" s="164">
        <f>IF(E72="USD",D72*VLOOKUP(K72,'Kursy walut'!C:E,2,0),IF(E72="EUR",D72*VLOOKUP(K72,'Kursy walut'!C:E,3,0),D72))</f>
        <v>0</v>
      </c>
      <c r="K72" s="163" t="s">
        <v>395</v>
      </c>
      <c r="L72" s="165">
        <f>D72/VLOOKUP(E72,'Kursy walut'!C:E,2,0)</f>
        <v>0</v>
      </c>
      <c r="M72" s="52" t="s">
        <v>86</v>
      </c>
      <c r="N72" s="165">
        <f>D72/VLOOKUP(E72,'Kursy walut'!C:E,3,0)</f>
        <v>0</v>
      </c>
      <c r="O72" s="52" t="s">
        <v>85</v>
      </c>
    </row>
    <row r="73" spans="1:15" ht="13" x14ac:dyDescent="0.15">
      <c r="A73" s="73" t="s">
        <v>39</v>
      </c>
      <c r="B73" s="74" t="s">
        <v>143</v>
      </c>
      <c r="C73" s="167" t="s">
        <v>887</v>
      </c>
      <c r="D73" s="131" t="s">
        <v>887</v>
      </c>
      <c r="E73" s="163" t="s">
        <v>85</v>
      </c>
      <c r="F73" s="163" t="s">
        <v>85</v>
      </c>
      <c r="G73" s="77"/>
      <c r="H73" s="73" t="s">
        <v>39</v>
      </c>
      <c r="I73" s="74" t="s">
        <v>143</v>
      </c>
      <c r="J73" s="164">
        <f>IF(E73="USD",D73*VLOOKUP(K73,'Kursy walut'!C:E,2,0),IF(E73="EUR",D73*VLOOKUP(K73,'Kursy walut'!C:E,3,0),D73))</f>
        <v>36192</v>
      </c>
      <c r="K73" s="163" t="s">
        <v>85</v>
      </c>
      <c r="L73" s="165">
        <f>D73/VLOOKUP(E73,'Kursy walut'!C:E,2,0)</f>
        <v>35402.523721021229</v>
      </c>
      <c r="M73" s="52" t="s">
        <v>86</v>
      </c>
      <c r="N73" s="165">
        <f>D73/VLOOKUP(E73,'Kursy walut'!C:E,3,0)</f>
        <v>36192</v>
      </c>
      <c r="O73" s="52" t="s">
        <v>85</v>
      </c>
    </row>
    <row r="74" spans="1:15" ht="13" x14ac:dyDescent="0.15">
      <c r="A74" s="73" t="s">
        <v>48</v>
      </c>
      <c r="B74" s="74" t="s">
        <v>144</v>
      </c>
      <c r="C74" s="125"/>
      <c r="D74" s="131" t="s">
        <v>888</v>
      </c>
      <c r="E74" s="163" t="s">
        <v>145</v>
      </c>
      <c r="F74" s="163" t="s">
        <v>145</v>
      </c>
      <c r="G74" s="77"/>
      <c r="H74" s="73" t="s">
        <v>48</v>
      </c>
      <c r="I74" s="74" t="s">
        <v>144</v>
      </c>
      <c r="J74" s="164" t="str">
        <f>IF(E74="USD",D74*VLOOKUP(K74,'Kursy walut'!C:E,2,0),IF(E74="EUR",D74*VLOOKUP(K74,'Kursy walut'!C:E,3,0),D74))</f>
        <v>8.00</v>
      </c>
      <c r="K74" s="163" t="s">
        <v>145</v>
      </c>
      <c r="L74" s="165" t="e">
        <f>D74/VLOOKUP(E74,'Kursy walut'!C:E,2,0)</f>
        <v>#VALUE!</v>
      </c>
      <c r="M74" s="52" t="s">
        <v>86</v>
      </c>
      <c r="N74" s="165" t="e">
        <f>D74/VLOOKUP(E74,'Kursy walut'!C:E,3,0)</f>
        <v>#VALUE!</v>
      </c>
      <c r="O74" s="52" t="s">
        <v>85</v>
      </c>
    </row>
    <row r="75" spans="1:15" ht="13" x14ac:dyDescent="0.15">
      <c r="A75" s="73" t="s">
        <v>672</v>
      </c>
      <c r="B75" s="74" t="s">
        <v>673</v>
      </c>
      <c r="C75" s="125"/>
      <c r="E75" s="163" t="s">
        <v>399</v>
      </c>
      <c r="F75" s="163" t="s">
        <v>399</v>
      </c>
      <c r="G75" s="77"/>
      <c r="H75" s="73" t="s">
        <v>672</v>
      </c>
      <c r="I75" s="74" t="s">
        <v>673</v>
      </c>
      <c r="J75" s="164">
        <f>IF(E75="USD",D75*VLOOKUP(K75,'Kursy walut'!C:E,2,0),IF(E75="EUR",D75*VLOOKUP(K75,'Kursy walut'!C:E,3,0),D75))</f>
        <v>0</v>
      </c>
      <c r="K75" s="163" t="s">
        <v>399</v>
      </c>
      <c r="L75" s="165">
        <f>D75/VLOOKUP(E75,'Kursy walut'!C:E,2,0)</f>
        <v>0</v>
      </c>
      <c r="M75" s="52" t="s">
        <v>86</v>
      </c>
      <c r="N75" s="165">
        <f>D75/VLOOKUP(E75,'Kursy walut'!C:E,3,0)</f>
        <v>0</v>
      </c>
      <c r="O75" s="52" t="s">
        <v>85</v>
      </c>
    </row>
    <row r="76" spans="1:15" ht="13" x14ac:dyDescent="0.15">
      <c r="A76" s="73" t="s">
        <v>66</v>
      </c>
      <c r="B76" s="74" t="s">
        <v>146</v>
      </c>
      <c r="C76" s="125"/>
      <c r="D76" s="52">
        <v>5.99</v>
      </c>
      <c r="E76" s="166" t="s">
        <v>86</v>
      </c>
      <c r="F76" s="163" t="s">
        <v>147</v>
      </c>
      <c r="G76" s="77"/>
      <c r="H76" s="73" t="s">
        <v>66</v>
      </c>
      <c r="I76" s="74" t="s">
        <v>146</v>
      </c>
      <c r="J76" s="164">
        <f>IF(E76="USD",D76*VLOOKUP(K76,'Kursy walut'!C:E,2,0),IF(E76="EUR",D76*VLOOKUP(K76,'Kursy walut'!C:E,3,0),D76))</f>
        <v>2589.4692129999999</v>
      </c>
      <c r="K76" s="163" t="s">
        <v>147</v>
      </c>
      <c r="L76" s="165">
        <f>D76/VLOOKUP(E76,'Kursy walut'!C:E,2,0)</f>
        <v>5.99</v>
      </c>
      <c r="M76" s="52" t="s">
        <v>86</v>
      </c>
      <c r="N76" s="165">
        <f>D76/VLOOKUP(E76,'Kursy walut'!C:E,3,0)</f>
        <v>6.1234921283991008</v>
      </c>
      <c r="O76" s="52" t="s">
        <v>85</v>
      </c>
    </row>
    <row r="77" spans="1:15" ht="13" x14ac:dyDescent="0.15">
      <c r="A77" s="73" t="s">
        <v>56</v>
      </c>
      <c r="B77" s="74" t="s">
        <v>148</v>
      </c>
      <c r="C77" s="125"/>
      <c r="D77" s="131" t="s">
        <v>862</v>
      </c>
      <c r="E77" s="166" t="s">
        <v>85</v>
      </c>
      <c r="F77" s="163" t="s">
        <v>149</v>
      </c>
      <c r="G77" s="77"/>
      <c r="H77" s="73" t="s">
        <v>56</v>
      </c>
      <c r="I77" s="74" t="s">
        <v>148</v>
      </c>
      <c r="J77" s="164">
        <f>IF(E77="USD",D77*VLOOKUP(K77,'Kursy walut'!C:E,2,0),IF(E77="EUR",D77*VLOOKUP(K77,'Kursy walut'!C:E,3,0),D77))</f>
        <v>2235018.443</v>
      </c>
      <c r="K77" s="163" t="s">
        <v>149</v>
      </c>
      <c r="L77" s="165">
        <f>D77/VLOOKUP(E77,'Kursy walut'!C:E,2,0)</f>
        <v>35489.582314389125</v>
      </c>
      <c r="M77" s="52" t="s">
        <v>86</v>
      </c>
      <c r="N77" s="165">
        <f>D77/VLOOKUP(E77,'Kursy walut'!C:E,3,0)</f>
        <v>36281</v>
      </c>
      <c r="O77" s="52" t="s">
        <v>85</v>
      </c>
    </row>
    <row r="78" spans="1:15" ht="13" x14ac:dyDescent="0.15">
      <c r="A78" s="73" t="s">
        <v>35</v>
      </c>
      <c r="B78" s="74" t="s">
        <v>150</v>
      </c>
      <c r="C78" s="125"/>
      <c r="D78" s="131" t="s">
        <v>889</v>
      </c>
      <c r="E78" s="163" t="s">
        <v>151</v>
      </c>
      <c r="F78" s="163" t="s">
        <v>151</v>
      </c>
      <c r="G78" s="77"/>
      <c r="H78" s="73" t="s">
        <v>35</v>
      </c>
      <c r="I78" s="74" t="s">
        <v>150</v>
      </c>
      <c r="J78" s="164" t="str">
        <f>IF(E78="USD",D78*VLOOKUP(K78,'Kursy walut'!C:E,2,0),IF(E78="EUR",D78*VLOOKUP(K78,'Kursy walut'!C:E,3,0),D78))</f>
        <v>65.00</v>
      </c>
      <c r="K78" s="163" t="s">
        <v>151</v>
      </c>
      <c r="L78" s="165" t="e">
        <f>D78/VLOOKUP(E78,'Kursy walut'!C:E,2,0)</f>
        <v>#VALUE!</v>
      </c>
      <c r="M78" s="52" t="s">
        <v>86</v>
      </c>
      <c r="N78" s="165" t="e">
        <f>D78/VLOOKUP(E78,'Kursy walut'!C:E,3,0)</f>
        <v>#VALUE!</v>
      </c>
      <c r="O78" s="52" t="s">
        <v>85</v>
      </c>
    </row>
    <row r="79" spans="1:15" ht="13" x14ac:dyDescent="0.15">
      <c r="A79" s="73" t="s">
        <v>680</v>
      </c>
      <c r="B79" s="74" t="s">
        <v>410</v>
      </c>
      <c r="C79" s="125"/>
      <c r="E79" s="163" t="s">
        <v>411</v>
      </c>
      <c r="F79" s="163" t="s">
        <v>411</v>
      </c>
      <c r="G79" s="77"/>
      <c r="H79" s="73" t="s">
        <v>680</v>
      </c>
      <c r="I79" s="74" t="s">
        <v>410</v>
      </c>
      <c r="J79" s="164">
        <f>IF(E79="USD",D79*VLOOKUP(K79,'Kursy walut'!C:E,2,0),IF(E79="EUR",D79*VLOOKUP(K79,'Kursy walut'!C:E,3,0),D79))</f>
        <v>0</v>
      </c>
      <c r="K79" s="163" t="s">
        <v>411</v>
      </c>
      <c r="L79" s="165">
        <f>D79/VLOOKUP(E79,'Kursy walut'!C:E,2,0)</f>
        <v>0</v>
      </c>
      <c r="M79" s="52" t="s">
        <v>86</v>
      </c>
      <c r="N79" s="165">
        <f>D79/VLOOKUP(E79,'Kursy walut'!C:E,3,0)</f>
        <v>0</v>
      </c>
      <c r="O79" s="52" t="s">
        <v>85</v>
      </c>
    </row>
    <row r="80" spans="1:15" ht="13" x14ac:dyDescent="0.15">
      <c r="A80" s="73" t="s">
        <v>74</v>
      </c>
      <c r="B80" s="74" t="s">
        <v>152</v>
      </c>
      <c r="C80" s="125"/>
      <c r="D80" s="52">
        <v>5.99</v>
      </c>
      <c r="E80" s="166" t="s">
        <v>86</v>
      </c>
      <c r="F80" s="163" t="s">
        <v>153</v>
      </c>
      <c r="G80" s="77"/>
      <c r="H80" s="73" t="s">
        <v>74</v>
      </c>
      <c r="I80" s="74" t="s">
        <v>152</v>
      </c>
      <c r="J80" s="164">
        <f>IF(E80="USD",D80*VLOOKUP(K80,'Kursy walut'!C:E,2,0),IF(E80="EUR",D80*VLOOKUP(K80,'Kursy walut'!C:E,3,0),D80))</f>
        <v>1334.5564260000001</v>
      </c>
      <c r="K80" s="163" t="s">
        <v>153</v>
      </c>
      <c r="L80" s="165">
        <f>D80/VLOOKUP(E80,'Kursy walut'!C:E,2,0)</f>
        <v>5.99</v>
      </c>
      <c r="M80" s="52" t="s">
        <v>86</v>
      </c>
      <c r="N80" s="165">
        <f>D80/VLOOKUP(E80,'Kursy walut'!C:E,3,0)</f>
        <v>6.1234921283991008</v>
      </c>
      <c r="O80" s="52" t="s">
        <v>85</v>
      </c>
    </row>
    <row r="81" spans="1:15" ht="13" x14ac:dyDescent="0.15">
      <c r="A81" s="73" t="s">
        <v>684</v>
      </c>
      <c r="B81" s="74" t="s">
        <v>413</v>
      </c>
      <c r="C81" s="125"/>
      <c r="E81" s="163" t="s">
        <v>414</v>
      </c>
      <c r="F81" s="163" t="s">
        <v>414</v>
      </c>
      <c r="G81" s="77"/>
      <c r="H81" s="73" t="s">
        <v>684</v>
      </c>
      <c r="I81" s="74" t="s">
        <v>413</v>
      </c>
      <c r="J81" s="164">
        <f>IF(E81="USD",D81*VLOOKUP(K81,'Kursy walut'!C:E,2,0),IF(E81="EUR",D81*VLOOKUP(K81,'Kursy walut'!C:E,3,0),D81))</f>
        <v>0</v>
      </c>
      <c r="K81" s="163" t="s">
        <v>414</v>
      </c>
      <c r="L81" s="165">
        <f>D81/VLOOKUP(E81,'Kursy walut'!C:E,2,0)</f>
        <v>0</v>
      </c>
      <c r="M81" s="52" t="s">
        <v>86</v>
      </c>
      <c r="N81" s="165">
        <f>D81/VLOOKUP(E81,'Kursy walut'!C:E,3,0)</f>
        <v>0</v>
      </c>
      <c r="O81" s="52" t="s">
        <v>85</v>
      </c>
    </row>
    <row r="82" spans="1:15" ht="13" x14ac:dyDescent="0.15">
      <c r="A82" s="73" t="s">
        <v>702</v>
      </c>
      <c r="B82" s="74" t="s">
        <v>703</v>
      </c>
      <c r="C82" s="125"/>
      <c r="E82" s="163" t="s">
        <v>427</v>
      </c>
      <c r="F82" s="163" t="s">
        <v>427</v>
      </c>
      <c r="G82" s="77"/>
      <c r="H82" s="73" t="s">
        <v>702</v>
      </c>
      <c r="I82" s="74" t="s">
        <v>703</v>
      </c>
      <c r="J82" s="164">
        <f>IF(E82="USD",D82*VLOOKUP(K82,'Kursy walut'!C:E,2,0),IF(E82="EUR",D82*VLOOKUP(K82,'Kursy walut'!C:E,3,0),D82))</f>
        <v>0</v>
      </c>
      <c r="K82" s="163" t="s">
        <v>427</v>
      </c>
      <c r="L82" s="165">
        <f>D82/VLOOKUP(E82,'Kursy walut'!C:E,2,0)</f>
        <v>0</v>
      </c>
      <c r="M82" s="52" t="s">
        <v>86</v>
      </c>
      <c r="N82" s="165">
        <f>D82/VLOOKUP(E82,'Kursy walut'!C:E,3,0)</f>
        <v>0</v>
      </c>
      <c r="O82" s="52" t="s">
        <v>85</v>
      </c>
    </row>
    <row r="83" spans="1:15" ht="13" x14ac:dyDescent="0.15">
      <c r="A83" s="73" t="s">
        <v>63</v>
      </c>
      <c r="B83" s="74" t="s">
        <v>154</v>
      </c>
      <c r="C83" s="125"/>
      <c r="D83" s="170">
        <v>16.989999999999998</v>
      </c>
      <c r="E83" s="163" t="s">
        <v>155</v>
      </c>
      <c r="F83" s="163" t="s">
        <v>155</v>
      </c>
      <c r="G83" s="77"/>
      <c r="H83" s="73" t="s">
        <v>63</v>
      </c>
      <c r="I83" s="74" t="s">
        <v>154</v>
      </c>
      <c r="J83" s="164">
        <f>IF(E83="USD",D83*VLOOKUP(K83,'Kursy walut'!C:E,2,0),IF(E83="EUR",D83*VLOOKUP(K83,'Kursy walut'!C:E,3,0),D83))</f>
        <v>16.989999999999998</v>
      </c>
      <c r="K83" s="163" t="s">
        <v>155</v>
      </c>
      <c r="L83" s="165">
        <f>D83/VLOOKUP(E83,'Kursy walut'!C:E,2,0)</f>
        <v>4.2749666607956112</v>
      </c>
      <c r="M83" s="52" t="s">
        <v>86</v>
      </c>
      <c r="N83" s="165">
        <f>D83/VLOOKUP(E83,'Kursy walut'!C:E,3,0)</f>
        <v>4.3732303732303732</v>
      </c>
      <c r="O83" s="52" t="s">
        <v>85</v>
      </c>
    </row>
    <row r="84" spans="1:15" ht="13" x14ac:dyDescent="0.15">
      <c r="A84" s="73" t="s">
        <v>81</v>
      </c>
      <c r="B84" s="74" t="s">
        <v>156</v>
      </c>
      <c r="C84" s="125"/>
      <c r="D84" s="171">
        <v>149</v>
      </c>
      <c r="E84" s="163" t="s">
        <v>157</v>
      </c>
      <c r="F84" s="163" t="s">
        <v>157</v>
      </c>
      <c r="G84" s="77"/>
      <c r="H84" s="73" t="s">
        <v>81</v>
      </c>
      <c r="I84" s="74" t="s">
        <v>156</v>
      </c>
      <c r="J84" s="164">
        <f>IF(E84="USD",D84*VLOOKUP(K84,'Kursy walut'!C:E,2,0),IF(E84="EUR",D84*VLOOKUP(K84,'Kursy walut'!C:E,3,0),D84))</f>
        <v>149</v>
      </c>
      <c r="K84" s="163" t="s">
        <v>157</v>
      </c>
      <c r="L84" s="165">
        <f>D84/VLOOKUP(E84,'Kursy walut'!C:E,2,0)</f>
        <v>2.5266999264035057</v>
      </c>
      <c r="M84" s="52" t="s">
        <v>86</v>
      </c>
      <c r="N84" s="165">
        <f>D84/VLOOKUP(E84,'Kursy walut'!C:E,3,0)</f>
        <v>2.585467934991966</v>
      </c>
      <c r="O84" s="52" t="s">
        <v>85</v>
      </c>
    </row>
    <row r="85" spans="1:15" ht="13" x14ac:dyDescent="0.15">
      <c r="A85" s="73" t="s">
        <v>70</v>
      </c>
      <c r="B85" s="74" t="s">
        <v>158</v>
      </c>
      <c r="C85" s="167" t="s">
        <v>532</v>
      </c>
      <c r="D85" s="131" t="s">
        <v>532</v>
      </c>
      <c r="E85" s="163" t="s">
        <v>159</v>
      </c>
      <c r="F85" s="163" t="s">
        <v>159</v>
      </c>
      <c r="G85" s="77"/>
      <c r="H85" s="73" t="s">
        <v>70</v>
      </c>
      <c r="I85" s="74" t="s">
        <v>158</v>
      </c>
      <c r="J85" s="164" t="str">
        <f>IF(E85="USD",D85*VLOOKUP(K85,'Kursy walut'!C:E,2,0),IF(E85="EUR",D85*VLOOKUP(K85,'Kursy walut'!C:E,3,0),D85))</f>
        <v>10.99</v>
      </c>
      <c r="K85" s="163" t="s">
        <v>159</v>
      </c>
      <c r="L85" s="165">
        <f>D85/VLOOKUP(E85,'Kursy walut'!C:E,2,0)</f>
        <v>7358.7687584577161</v>
      </c>
      <c r="M85" s="52" t="s">
        <v>86</v>
      </c>
      <c r="N85" s="165">
        <f>D85/VLOOKUP(E85,'Kursy walut'!C:E,3,0)</f>
        <v>7522.4016186976096</v>
      </c>
      <c r="O85" s="52" t="s">
        <v>85</v>
      </c>
    </row>
    <row r="86" spans="1:15" ht="13" x14ac:dyDescent="0.15">
      <c r="A86" s="73" t="s">
        <v>45</v>
      </c>
      <c r="B86" s="74" t="s">
        <v>160</v>
      </c>
      <c r="C86" s="125"/>
      <c r="D86" s="131" t="s">
        <v>890</v>
      </c>
      <c r="E86" s="163" t="s">
        <v>85</v>
      </c>
      <c r="F86" s="163" t="s">
        <v>85</v>
      </c>
      <c r="G86" s="77"/>
      <c r="H86" s="73" t="s">
        <v>45</v>
      </c>
      <c r="I86" s="74" t="s">
        <v>160</v>
      </c>
      <c r="J86" s="164">
        <f>IF(E86="USD",D86*VLOOKUP(K86,'Kursy walut'!C:E,2,0),IF(E86="EUR",D86*VLOOKUP(K86,'Kursy walut'!C:E,3,0),D86))</f>
        <v>36220</v>
      </c>
      <c r="K86" s="163" t="s">
        <v>85</v>
      </c>
      <c r="L86" s="165">
        <f>D86/VLOOKUP(E86,'Kursy walut'!C:E,2,0)</f>
        <v>35429.912941406634</v>
      </c>
      <c r="M86" s="52" t="s">
        <v>86</v>
      </c>
      <c r="N86" s="165">
        <f>D86/VLOOKUP(E86,'Kursy walut'!C:E,3,0)</f>
        <v>36220</v>
      </c>
      <c r="O86" s="52" t="s">
        <v>85</v>
      </c>
    </row>
    <row r="87" spans="1:15" ht="13" x14ac:dyDescent="0.15">
      <c r="A87" s="73" t="s">
        <v>697</v>
      </c>
      <c r="B87" s="74" t="s">
        <v>698</v>
      </c>
      <c r="C87" s="125"/>
      <c r="E87" s="163" t="s">
        <v>86</v>
      </c>
      <c r="F87" s="163" t="s">
        <v>86</v>
      </c>
      <c r="G87" s="77"/>
      <c r="H87" s="73" t="s">
        <v>697</v>
      </c>
      <c r="I87" s="74" t="s">
        <v>698</v>
      </c>
      <c r="J87" s="164">
        <f>IF(E87="USD",D87*VLOOKUP(K87,'Kursy walut'!C:E,2,0),IF(E87="EUR",D87*VLOOKUP(K87,'Kursy walut'!C:E,3,0),D87))</f>
        <v>0</v>
      </c>
      <c r="K87" s="163" t="s">
        <v>86</v>
      </c>
      <c r="L87" s="165">
        <f>D87/VLOOKUP(E87,'Kursy walut'!C:E,2,0)</f>
        <v>0</v>
      </c>
      <c r="M87" s="52" t="s">
        <v>86</v>
      </c>
      <c r="N87" s="165">
        <f>D87/VLOOKUP(E87,'Kursy walut'!C:E,3,0)</f>
        <v>0</v>
      </c>
      <c r="O87" s="52" t="s">
        <v>85</v>
      </c>
    </row>
    <row r="88" spans="1:15" ht="13" x14ac:dyDescent="0.15">
      <c r="A88" s="73" t="s">
        <v>707</v>
      </c>
      <c r="B88" s="74" t="s">
        <v>708</v>
      </c>
      <c r="C88" s="125"/>
      <c r="E88" s="163" t="s">
        <v>430</v>
      </c>
      <c r="F88" s="163" t="s">
        <v>430</v>
      </c>
      <c r="G88" s="77"/>
      <c r="H88" s="73" t="s">
        <v>707</v>
      </c>
      <c r="I88" s="74" t="s">
        <v>708</v>
      </c>
      <c r="J88" s="164">
        <f>IF(E88="USD",D88*VLOOKUP(K88,'Kursy walut'!C:E,2,0),IF(E88="EUR",D88*VLOOKUP(K88,'Kursy walut'!C:E,3,0),D88))</f>
        <v>0</v>
      </c>
      <c r="K88" s="163" t="s">
        <v>430</v>
      </c>
      <c r="L88" s="165">
        <f>D88/VLOOKUP(E88,'Kursy walut'!C:E,2,0)</f>
        <v>0</v>
      </c>
      <c r="M88" s="52" t="s">
        <v>86</v>
      </c>
      <c r="N88" s="165">
        <f>D88/VLOOKUP(E88,'Kursy walut'!C:E,3,0)</f>
        <v>0</v>
      </c>
      <c r="O88" s="52" t="s">
        <v>85</v>
      </c>
    </row>
    <row r="89" spans="1:15" ht="13" x14ac:dyDescent="0.15">
      <c r="A89" s="73" t="s">
        <v>64</v>
      </c>
      <c r="B89" s="74" t="s">
        <v>161</v>
      </c>
      <c r="C89" s="125"/>
      <c r="D89" s="131" t="s">
        <v>891</v>
      </c>
      <c r="E89" s="163" t="s">
        <v>162</v>
      </c>
      <c r="F89" s="163" t="s">
        <v>162</v>
      </c>
      <c r="G89" s="77"/>
      <c r="H89" s="73" t="s">
        <v>64</v>
      </c>
      <c r="I89" s="74" t="s">
        <v>161</v>
      </c>
      <c r="J89" s="164" t="str">
        <f>IF(E89="USD",D89*VLOOKUP(K89,'Kursy walut'!C:E,2,0),IF(E89="EUR",D89*VLOOKUP(K89,'Kursy walut'!C:E,3,0),D89))</f>
        <v>13.99</v>
      </c>
      <c r="K89" s="163" t="s">
        <v>162</v>
      </c>
      <c r="L89" s="165" t="e">
        <f>D89/VLOOKUP(E89,'Kursy walut'!C:E,2,0)</f>
        <v>#VALUE!</v>
      </c>
      <c r="M89" s="52" t="s">
        <v>86</v>
      </c>
      <c r="N89" s="165" t="e">
        <f>D89/VLOOKUP(E89,'Kursy walut'!C:E,3,0)</f>
        <v>#VALUE!</v>
      </c>
      <c r="O89" s="52" t="s">
        <v>85</v>
      </c>
    </row>
    <row r="90" spans="1:15" ht="13" x14ac:dyDescent="0.15">
      <c r="A90" s="73" t="s">
        <v>709</v>
      </c>
      <c r="B90" s="74" t="s">
        <v>710</v>
      </c>
      <c r="C90" s="125"/>
      <c r="E90" s="163" t="s">
        <v>436</v>
      </c>
      <c r="F90" s="163" t="s">
        <v>436</v>
      </c>
      <c r="G90" s="77"/>
      <c r="H90" s="73" t="s">
        <v>709</v>
      </c>
      <c r="I90" s="74" t="s">
        <v>710</v>
      </c>
      <c r="J90" s="164">
        <f>IF(E90="USD",D90*VLOOKUP(K90,'Kursy walut'!C:E,2,0),IF(E90="EUR",D90*VLOOKUP(K90,'Kursy walut'!C:E,3,0),D90))</f>
        <v>0</v>
      </c>
      <c r="K90" s="163" t="s">
        <v>436</v>
      </c>
      <c r="L90" s="165">
        <f>D90/VLOOKUP(E90,'Kursy walut'!C:E,2,0)</f>
        <v>0</v>
      </c>
      <c r="M90" s="52" t="s">
        <v>86</v>
      </c>
      <c r="N90" s="165">
        <f>D90/VLOOKUP(E90,'Kursy walut'!C:E,3,0)</f>
        <v>0</v>
      </c>
      <c r="O90" s="52" t="s">
        <v>85</v>
      </c>
    </row>
    <row r="91" spans="1:15" ht="13" x14ac:dyDescent="0.15">
      <c r="A91" s="73" t="s">
        <v>712</v>
      </c>
      <c r="B91" s="74" t="s">
        <v>438</v>
      </c>
      <c r="C91" s="125"/>
      <c r="E91" s="163" t="s">
        <v>439</v>
      </c>
      <c r="F91" s="163" t="s">
        <v>439</v>
      </c>
      <c r="G91" s="77"/>
      <c r="H91" s="73" t="s">
        <v>712</v>
      </c>
      <c r="I91" s="74" t="s">
        <v>438</v>
      </c>
      <c r="J91" s="164">
        <f>IF(E91="USD",D91*VLOOKUP(K91,'Kursy walut'!C:E,2,0),IF(E91="EUR",D91*VLOOKUP(K91,'Kursy walut'!C:E,3,0),D91))</f>
        <v>0</v>
      </c>
      <c r="K91" s="163" t="s">
        <v>439</v>
      </c>
      <c r="L91" s="165">
        <f>D91/VLOOKUP(E91,'Kursy walut'!C:E,2,0)</f>
        <v>0</v>
      </c>
      <c r="M91" s="52" t="s">
        <v>86</v>
      </c>
      <c r="N91" s="165">
        <f>D91/VLOOKUP(E91,'Kursy walut'!C:E,3,0)</f>
        <v>0</v>
      </c>
      <c r="O91" s="52" t="s">
        <v>85</v>
      </c>
    </row>
    <row r="92" spans="1:15" ht="13" x14ac:dyDescent="0.15">
      <c r="A92" s="73" t="s">
        <v>59</v>
      </c>
      <c r="B92" s="74" t="s">
        <v>163</v>
      </c>
      <c r="C92" s="167" t="s">
        <v>892</v>
      </c>
      <c r="D92" s="131" t="s">
        <v>892</v>
      </c>
      <c r="E92" s="163" t="s">
        <v>164</v>
      </c>
      <c r="F92" s="163" t="s">
        <v>164</v>
      </c>
      <c r="G92" s="77"/>
      <c r="H92" s="73" t="s">
        <v>59</v>
      </c>
      <c r="I92" s="74" t="s">
        <v>163</v>
      </c>
      <c r="J92" s="164" t="str">
        <f>IF(E92="USD",D92*VLOOKUP(K92,'Kursy walut'!C:E,2,0),IF(E92="EUR",D92*VLOOKUP(K92,'Kursy walut'!C:E,3,0),D92))</f>
        <v>16.00</v>
      </c>
      <c r="K92" s="163" t="s">
        <v>164</v>
      </c>
      <c r="L92" s="165" t="e">
        <f>D92/VLOOKUP(E92,'Kursy walut'!C:E,2,0)</f>
        <v>#VALUE!</v>
      </c>
      <c r="M92" s="52" t="s">
        <v>86</v>
      </c>
      <c r="N92" s="165" t="e">
        <f>D92/VLOOKUP(E92,'Kursy walut'!C:E,3,0)</f>
        <v>#VALUE!</v>
      </c>
      <c r="O92" s="52" t="s">
        <v>85</v>
      </c>
    </row>
    <row r="93" spans="1:15" ht="13" x14ac:dyDescent="0.15">
      <c r="A93" s="73" t="s">
        <v>50</v>
      </c>
      <c r="B93" s="74" t="s">
        <v>165</v>
      </c>
      <c r="C93" s="125"/>
      <c r="D93" s="131" t="s">
        <v>862</v>
      </c>
      <c r="E93" s="166" t="s">
        <v>85</v>
      </c>
      <c r="F93" s="163" t="s">
        <v>166</v>
      </c>
      <c r="G93" s="77"/>
      <c r="H93" s="73" t="s">
        <v>50</v>
      </c>
      <c r="I93" s="74" t="s">
        <v>165</v>
      </c>
      <c r="J93" s="164">
        <f>IF(E93="USD",D93*VLOOKUP(K93,'Kursy walut'!C:E,2,0),IF(E93="EUR",D93*VLOOKUP(K93,'Kursy walut'!C:E,3,0),D93))</f>
        <v>4255634.3164999997</v>
      </c>
      <c r="K93" s="163" t="s">
        <v>166</v>
      </c>
      <c r="L93" s="165">
        <f>D93/VLOOKUP(E93,'Kursy walut'!C:E,2,0)</f>
        <v>35489.582314389125</v>
      </c>
      <c r="M93" s="52" t="s">
        <v>86</v>
      </c>
      <c r="N93" s="165">
        <f>D93/VLOOKUP(E93,'Kursy walut'!C:E,3,0)</f>
        <v>36281</v>
      </c>
      <c r="O93" s="52" t="s">
        <v>85</v>
      </c>
    </row>
    <row r="94" spans="1:15" ht="13" x14ac:dyDescent="0.15">
      <c r="A94" s="73" t="s">
        <v>61</v>
      </c>
      <c r="B94" s="74" t="s">
        <v>167</v>
      </c>
      <c r="C94" s="167" t="s">
        <v>887</v>
      </c>
      <c r="D94" s="131" t="s">
        <v>887</v>
      </c>
      <c r="E94" s="163" t="s">
        <v>168</v>
      </c>
      <c r="F94" s="163" t="s">
        <v>168</v>
      </c>
      <c r="G94" s="77"/>
      <c r="H94" s="73" t="s">
        <v>61</v>
      </c>
      <c r="I94" s="74" t="s">
        <v>167</v>
      </c>
      <c r="J94" s="164" t="str">
        <f>IF(E94="USD",D94*VLOOKUP(K94,'Kursy walut'!C:E,2,0),IF(E94="EUR",D94*VLOOKUP(K94,'Kursy walut'!C:E,3,0),D94))</f>
        <v>2.99</v>
      </c>
      <c r="K94" s="163" t="s">
        <v>168</v>
      </c>
      <c r="L94" s="165">
        <f>D94/VLOOKUP(E94,'Kursy walut'!C:E,2,0)</f>
        <v>25277.273362201424</v>
      </c>
      <c r="M94" s="52" t="s">
        <v>86</v>
      </c>
      <c r="N94" s="165">
        <f>D94/VLOOKUP(E94,'Kursy walut'!C:E,3,0)</f>
        <v>25831.132681464562</v>
      </c>
      <c r="O94" s="52" t="s">
        <v>85</v>
      </c>
    </row>
    <row r="95" spans="1:15" ht="13" x14ac:dyDescent="0.15">
      <c r="A95" s="73" t="s">
        <v>47</v>
      </c>
      <c r="B95" s="74" t="s">
        <v>169</v>
      </c>
      <c r="C95" s="125"/>
      <c r="D95" s="131" t="s">
        <v>862</v>
      </c>
      <c r="E95" s="163" t="s">
        <v>85</v>
      </c>
      <c r="F95" s="163" t="s">
        <v>85</v>
      </c>
      <c r="G95" s="77"/>
      <c r="H95" s="73" t="s">
        <v>47</v>
      </c>
      <c r="I95" s="74" t="s">
        <v>169</v>
      </c>
      <c r="J95" s="164">
        <f>IF(E95="USD",D95*VLOOKUP(K95,'Kursy walut'!C:E,2,0),IF(E95="EUR",D95*VLOOKUP(K95,'Kursy walut'!C:E,3,0),D95))</f>
        <v>36281</v>
      </c>
      <c r="K95" s="163" t="s">
        <v>85</v>
      </c>
      <c r="L95" s="165">
        <f>D95/VLOOKUP(E95,'Kursy walut'!C:E,2,0)</f>
        <v>35489.582314389125</v>
      </c>
      <c r="M95" s="52" t="s">
        <v>86</v>
      </c>
      <c r="N95" s="165">
        <f>D95/VLOOKUP(E95,'Kursy walut'!C:E,3,0)</f>
        <v>36281</v>
      </c>
      <c r="O95" s="52" t="s">
        <v>85</v>
      </c>
    </row>
    <row r="96" spans="1:15" ht="13" x14ac:dyDescent="0.15">
      <c r="A96" s="73" t="s">
        <v>721</v>
      </c>
      <c r="B96" s="74" t="s">
        <v>722</v>
      </c>
      <c r="C96" s="125"/>
      <c r="D96" s="131" t="s">
        <v>862</v>
      </c>
      <c r="E96" s="163" t="s">
        <v>85</v>
      </c>
      <c r="F96" s="163" t="s">
        <v>85</v>
      </c>
      <c r="G96" s="77"/>
      <c r="H96" s="73" t="s">
        <v>721</v>
      </c>
      <c r="I96" s="74" t="s">
        <v>722</v>
      </c>
      <c r="J96" s="164">
        <f>IF(E96="USD",D96*VLOOKUP(K96,'Kursy walut'!C:E,2,0),IF(E96="EUR",D96*VLOOKUP(K96,'Kursy walut'!C:E,3,0),D96))</f>
        <v>36281</v>
      </c>
      <c r="K96" s="163" t="s">
        <v>85</v>
      </c>
      <c r="L96" s="165">
        <f>D96/VLOOKUP(E96,'Kursy walut'!C:E,2,0)</f>
        <v>35489.582314389125</v>
      </c>
      <c r="M96" s="52" t="s">
        <v>86</v>
      </c>
      <c r="N96" s="165">
        <f>D96/VLOOKUP(E96,'Kursy walut'!C:E,3,0)</f>
        <v>36281</v>
      </c>
      <c r="O96" s="52" t="s">
        <v>85</v>
      </c>
    </row>
    <row r="97" spans="1:15" ht="13" x14ac:dyDescent="0.15">
      <c r="A97" s="73" t="s">
        <v>75</v>
      </c>
      <c r="B97" s="74" t="s">
        <v>170</v>
      </c>
      <c r="C97" s="125"/>
      <c r="D97" s="131" t="s">
        <v>811</v>
      </c>
      <c r="E97" s="163" t="s">
        <v>171</v>
      </c>
      <c r="F97" s="163" t="s">
        <v>171</v>
      </c>
      <c r="G97" s="77"/>
      <c r="H97" s="73" t="s">
        <v>75</v>
      </c>
      <c r="I97" s="74" t="s">
        <v>170</v>
      </c>
      <c r="J97" s="164" t="str">
        <f>IF(E97="USD",D97*VLOOKUP(K97,'Kursy walut'!C:E,2,0),IF(E97="EUR",D97*VLOOKUP(K97,'Kursy walut'!C:E,3,0),D97))</f>
        <v>79.00</v>
      </c>
      <c r="K97" s="163" t="s">
        <v>171</v>
      </c>
      <c r="L97" s="165" t="e">
        <f>D97/VLOOKUP(E97,'Kursy walut'!C:E,2,0)</f>
        <v>#VALUE!</v>
      </c>
      <c r="M97" s="52" t="s">
        <v>86</v>
      </c>
      <c r="N97" s="165" t="e">
        <f>D97/VLOOKUP(E97,'Kursy walut'!C:E,3,0)</f>
        <v>#VALUE!</v>
      </c>
      <c r="O97" s="52" t="s">
        <v>85</v>
      </c>
    </row>
    <row r="98" spans="1:15" ht="13" x14ac:dyDescent="0.15">
      <c r="A98" s="73" t="s">
        <v>60</v>
      </c>
      <c r="B98" s="74" t="s">
        <v>172</v>
      </c>
      <c r="C98" s="125"/>
      <c r="D98" s="131" t="s">
        <v>862</v>
      </c>
      <c r="E98" s="166" t="s">
        <v>86</v>
      </c>
      <c r="F98" s="163" t="s">
        <v>173</v>
      </c>
      <c r="G98" s="77"/>
      <c r="H98" s="73" t="s">
        <v>60</v>
      </c>
      <c r="I98" s="74" t="s">
        <v>172</v>
      </c>
      <c r="J98" s="164">
        <f>IF(E98="USD",D98*VLOOKUP(K98,'Kursy walut'!C:E,2,0),IF(E98="EUR",D98*VLOOKUP(K98,'Kursy walut'!C:E,3,0),D98))</f>
        <v>51814031.695299998</v>
      </c>
      <c r="K98" s="163" t="s">
        <v>173</v>
      </c>
      <c r="L98" s="165">
        <f>D98/VLOOKUP(E98,'Kursy walut'!C:E,2,0)</f>
        <v>36281</v>
      </c>
      <c r="M98" s="52" t="s">
        <v>86</v>
      </c>
      <c r="N98" s="165">
        <f>D98/VLOOKUP(E98,'Kursy walut'!C:E,3,0)</f>
        <v>37089.552238805969</v>
      </c>
      <c r="O98" s="52" t="s">
        <v>85</v>
      </c>
    </row>
    <row r="99" spans="1:15" ht="13" x14ac:dyDescent="0.15">
      <c r="A99" s="73" t="s">
        <v>33</v>
      </c>
      <c r="B99" s="74" t="s">
        <v>174</v>
      </c>
      <c r="C99" s="167" t="s">
        <v>851</v>
      </c>
      <c r="D99" s="131" t="s">
        <v>851</v>
      </c>
      <c r="E99" s="163" t="s">
        <v>85</v>
      </c>
      <c r="F99" s="163" t="s">
        <v>85</v>
      </c>
      <c r="G99" s="77"/>
      <c r="H99" s="73" t="s">
        <v>33</v>
      </c>
      <c r="I99" s="74" t="s">
        <v>174</v>
      </c>
      <c r="J99" s="164">
        <f>IF(E99="USD",D99*VLOOKUP(K99,'Kursy walut'!C:E,2,0),IF(E99="EUR",D99*VLOOKUP(K99,'Kursy walut'!C:E,3,0),D99))</f>
        <v>36251</v>
      </c>
      <c r="K99" s="163" t="s">
        <v>85</v>
      </c>
      <c r="L99" s="165">
        <f>D99/VLOOKUP(E99,'Kursy walut'!C:E,2,0)</f>
        <v>35460.236721119043</v>
      </c>
      <c r="M99" s="52" t="s">
        <v>86</v>
      </c>
      <c r="N99" s="165">
        <f>D99/VLOOKUP(E99,'Kursy walut'!C:E,3,0)</f>
        <v>36251</v>
      </c>
      <c r="O99" s="52" t="s">
        <v>85</v>
      </c>
    </row>
    <row r="100" spans="1:15" ht="13" x14ac:dyDescent="0.15">
      <c r="A100" s="73" t="s">
        <v>652</v>
      </c>
      <c r="B100" s="74" t="s">
        <v>364</v>
      </c>
      <c r="C100" s="125"/>
      <c r="E100" s="163" t="s">
        <v>365</v>
      </c>
      <c r="F100" s="163" t="s">
        <v>365</v>
      </c>
      <c r="G100" s="77"/>
      <c r="H100" s="73" t="s">
        <v>652</v>
      </c>
      <c r="I100" s="74" t="s">
        <v>364</v>
      </c>
      <c r="J100" s="164">
        <f>IF(E100="USD",D100*VLOOKUP(K100,'Kursy walut'!C:E,2,0),IF(E100="EUR",D100*VLOOKUP(K100,'Kursy walut'!C:E,3,0),D100))</f>
        <v>0</v>
      </c>
      <c r="K100" s="163" t="s">
        <v>365</v>
      </c>
      <c r="L100" s="165">
        <f>D100/VLOOKUP(E100,'Kursy walut'!C:E,2,0)</f>
        <v>0</v>
      </c>
      <c r="M100" s="52" t="s">
        <v>86</v>
      </c>
      <c r="N100" s="165">
        <f>D100/VLOOKUP(E100,'Kursy walut'!C:E,3,0)</f>
        <v>0</v>
      </c>
      <c r="O100" s="52" t="s">
        <v>85</v>
      </c>
    </row>
    <row r="101" spans="1:15" ht="13" x14ac:dyDescent="0.15">
      <c r="A101" s="73" t="s">
        <v>36</v>
      </c>
      <c r="B101" s="74" t="s">
        <v>175</v>
      </c>
      <c r="C101" s="167" t="s">
        <v>893</v>
      </c>
      <c r="D101" s="131" t="s">
        <v>893</v>
      </c>
      <c r="E101" s="163" t="s">
        <v>176</v>
      </c>
      <c r="F101" s="163" t="s">
        <v>176</v>
      </c>
      <c r="G101" s="77"/>
      <c r="H101" s="73" t="s">
        <v>36</v>
      </c>
      <c r="I101" s="74" t="s">
        <v>175</v>
      </c>
      <c r="J101" s="164" t="str">
        <f>IF(E101="USD",D101*VLOOKUP(K101,'Kursy walut'!C:E,2,0),IF(E101="EUR",D101*VLOOKUP(K101,'Kursy walut'!C:E,3,0),D101))</f>
        <v>59.00</v>
      </c>
      <c r="K101" s="163" t="s">
        <v>176</v>
      </c>
      <c r="L101" s="165" t="e">
        <f>D101/VLOOKUP(E101,'Kursy walut'!C:E,2,0)</f>
        <v>#VALUE!</v>
      </c>
      <c r="M101" s="52" t="s">
        <v>86</v>
      </c>
      <c r="N101" s="165" t="e">
        <f>D101/VLOOKUP(E101,'Kursy walut'!C:E,3,0)</f>
        <v>#VALUE!</v>
      </c>
      <c r="O101" s="52" t="s">
        <v>85</v>
      </c>
    </row>
    <row r="102" spans="1:15" ht="13" x14ac:dyDescent="0.15">
      <c r="A102" s="73" t="s">
        <v>25</v>
      </c>
      <c r="B102" s="74" t="s">
        <v>177</v>
      </c>
      <c r="C102" s="125"/>
      <c r="D102" s="131" t="s">
        <v>523</v>
      </c>
      <c r="E102" s="163" t="s">
        <v>178</v>
      </c>
      <c r="F102" s="163" t="s">
        <v>178</v>
      </c>
      <c r="G102" s="77"/>
      <c r="H102" s="73" t="s">
        <v>25</v>
      </c>
      <c r="I102" s="74" t="s">
        <v>177</v>
      </c>
      <c r="J102" s="164" t="str">
        <f>IF(E102="USD",D102*VLOOKUP(K102,'Kursy walut'!C:E,2,0),IF(E102="EUR",D102*VLOOKUP(K102,'Kursy walut'!C:E,3,0),D102))</f>
        <v>9.99</v>
      </c>
      <c r="K102" s="163" t="s">
        <v>178</v>
      </c>
      <c r="L102" s="165">
        <f>D102/VLOOKUP(E102,'Kursy walut'!C:E,2,0)</f>
        <v>36668.009669621271</v>
      </c>
      <c r="M102" s="52" t="s">
        <v>86</v>
      </c>
      <c r="N102" s="165">
        <f>D102/VLOOKUP(E102,'Kursy walut'!C:E,3,0)</f>
        <v>37495.107632093932</v>
      </c>
      <c r="O102" s="52" t="s">
        <v>85</v>
      </c>
    </row>
    <row r="103" spans="1:15" ht="13" x14ac:dyDescent="0.15">
      <c r="A103" s="73" t="s">
        <v>735</v>
      </c>
      <c r="B103" s="74" t="s">
        <v>736</v>
      </c>
      <c r="C103" s="125"/>
      <c r="D103" s="131" t="s">
        <v>894</v>
      </c>
      <c r="E103" s="163" t="s">
        <v>470</v>
      </c>
      <c r="F103" s="163" t="s">
        <v>470</v>
      </c>
      <c r="G103" s="77"/>
      <c r="H103" s="73" t="s">
        <v>735</v>
      </c>
      <c r="I103" s="74" t="s">
        <v>736</v>
      </c>
      <c r="J103" s="164" t="str">
        <f>IF(E103="USD",D103*VLOOKUP(K103,'Kursy walut'!C:E,2,0),IF(E103="EUR",D103*VLOOKUP(K103,'Kursy walut'!C:E,3,0),D103))</f>
        <v>169.00</v>
      </c>
      <c r="K103" s="163" t="s">
        <v>470</v>
      </c>
      <c r="L103" s="165" t="e">
        <f>D103/VLOOKUP(E103,'Kursy walut'!C:E,2,0)</f>
        <v>#VALUE!</v>
      </c>
      <c r="M103" s="52" t="s">
        <v>86</v>
      </c>
      <c r="N103" s="165" t="e">
        <f>D103/VLOOKUP(E103,'Kursy walut'!C:E,3,0)</f>
        <v>#VALUE!</v>
      </c>
      <c r="O103" s="52" t="s">
        <v>85</v>
      </c>
    </row>
    <row r="104" spans="1:15" ht="13" x14ac:dyDescent="0.15">
      <c r="A104" s="73" t="s">
        <v>728</v>
      </c>
      <c r="B104" s="74" t="s">
        <v>729</v>
      </c>
      <c r="C104" s="125"/>
      <c r="E104" s="163" t="s">
        <v>459</v>
      </c>
      <c r="F104" s="163" t="s">
        <v>459</v>
      </c>
      <c r="G104" s="77"/>
      <c r="H104" s="73" t="s">
        <v>728</v>
      </c>
      <c r="I104" s="74" t="s">
        <v>729</v>
      </c>
      <c r="J104" s="164">
        <f>IF(E104="USD",D104*VLOOKUP(K104,'Kursy walut'!C:E,2,0),IF(E104="EUR",D104*VLOOKUP(K104,'Kursy walut'!C:E,3,0),D104))</f>
        <v>0</v>
      </c>
      <c r="K104" s="163" t="s">
        <v>459</v>
      </c>
      <c r="L104" s="165">
        <f>D104/VLOOKUP(E104,'Kursy walut'!C:E,2,0)</f>
        <v>0</v>
      </c>
      <c r="M104" s="52" t="s">
        <v>86</v>
      </c>
      <c r="N104" s="165">
        <f>D104/VLOOKUP(E104,'Kursy walut'!C:E,3,0)</f>
        <v>0</v>
      </c>
      <c r="O104" s="52" t="s">
        <v>85</v>
      </c>
    </row>
    <row r="105" spans="1:15" ht="13" x14ac:dyDescent="0.15">
      <c r="A105" s="73" t="s">
        <v>740</v>
      </c>
      <c r="B105" s="74" t="s">
        <v>472</v>
      </c>
      <c r="C105" s="125"/>
      <c r="E105" s="163" t="s">
        <v>473</v>
      </c>
      <c r="F105" s="163" t="s">
        <v>473</v>
      </c>
      <c r="G105" s="77"/>
      <c r="H105" s="73" t="s">
        <v>740</v>
      </c>
      <c r="I105" s="74" t="s">
        <v>472</v>
      </c>
      <c r="J105" s="164">
        <f>IF(E105="USD",D105*VLOOKUP(K105,'Kursy walut'!C:E,2,0),IF(E105="EUR",D105*VLOOKUP(K105,'Kursy walut'!C:E,3,0),D105))</f>
        <v>0</v>
      </c>
      <c r="K105" s="163" t="s">
        <v>473</v>
      </c>
      <c r="L105" s="165">
        <f>D105/VLOOKUP(E105,'Kursy walut'!C:E,2,0)</f>
        <v>0</v>
      </c>
      <c r="M105" s="52" t="s">
        <v>86</v>
      </c>
      <c r="N105" s="165">
        <f>D105/VLOOKUP(E105,'Kursy walut'!C:E,3,0)</f>
        <v>0</v>
      </c>
      <c r="O105" s="52" t="s">
        <v>85</v>
      </c>
    </row>
    <row r="106" spans="1:15" ht="13" x14ac:dyDescent="0.15">
      <c r="A106" s="73" t="s">
        <v>78</v>
      </c>
      <c r="B106" s="74" t="s">
        <v>179</v>
      </c>
      <c r="C106" s="125"/>
      <c r="D106" s="131" t="s">
        <v>813</v>
      </c>
      <c r="E106" s="163" t="s">
        <v>180</v>
      </c>
      <c r="F106" s="163" t="s">
        <v>180</v>
      </c>
      <c r="G106" s="77"/>
      <c r="H106" s="73" t="s">
        <v>78</v>
      </c>
      <c r="I106" s="74" t="s">
        <v>179</v>
      </c>
      <c r="J106" s="164" t="str">
        <f>IF(E106="USD",D106*VLOOKUP(K106,'Kursy walut'!C:E,2,0),IF(E106="EUR",D106*VLOOKUP(K106,'Kursy walut'!C:E,3,0),D106))</f>
        <v>149.00</v>
      </c>
      <c r="K106" s="163" t="s">
        <v>180</v>
      </c>
      <c r="L106" s="165" t="e">
        <f>D106/VLOOKUP(E106,'Kursy walut'!C:E,2,0)</f>
        <v>#VALUE!</v>
      </c>
      <c r="M106" s="52" t="s">
        <v>86</v>
      </c>
      <c r="N106" s="165" t="e">
        <f>D106/VLOOKUP(E106,'Kursy walut'!C:E,3,0)</f>
        <v>#VALUE!</v>
      </c>
      <c r="O106" s="52" t="s">
        <v>85</v>
      </c>
    </row>
    <row r="107" spans="1:15" ht="13" x14ac:dyDescent="0.15">
      <c r="A107" s="73" t="s">
        <v>730</v>
      </c>
      <c r="B107" s="74" t="s">
        <v>731</v>
      </c>
      <c r="C107" s="125"/>
      <c r="E107" s="163" t="s">
        <v>465</v>
      </c>
      <c r="F107" s="163" t="s">
        <v>465</v>
      </c>
      <c r="G107" s="77"/>
      <c r="H107" s="73" t="s">
        <v>730</v>
      </c>
      <c r="I107" s="74" t="s">
        <v>731</v>
      </c>
      <c r="J107" s="164">
        <f>IF(E107="USD",D107*VLOOKUP(K107,'Kursy walut'!C:E,2,0),IF(E107="EUR",D107*VLOOKUP(K107,'Kursy walut'!C:E,3,0),D107))</f>
        <v>0</v>
      </c>
      <c r="K107" s="163" t="s">
        <v>465</v>
      </c>
      <c r="L107" s="165">
        <f>D107/VLOOKUP(E107,'Kursy walut'!C:E,2,0)</f>
        <v>0</v>
      </c>
      <c r="M107" s="52" t="s">
        <v>86</v>
      </c>
      <c r="N107" s="165">
        <f>D107/VLOOKUP(E107,'Kursy walut'!C:E,3,0)</f>
        <v>0</v>
      </c>
      <c r="O107" s="52" t="s">
        <v>85</v>
      </c>
    </row>
    <row r="108" spans="1:15" ht="13" x14ac:dyDescent="0.15">
      <c r="A108" s="73" t="s">
        <v>84</v>
      </c>
      <c r="B108" s="74" t="s">
        <v>181</v>
      </c>
      <c r="C108" s="167" t="s">
        <v>895</v>
      </c>
      <c r="D108" s="131" t="s">
        <v>895</v>
      </c>
      <c r="E108" s="163" t="s">
        <v>182</v>
      </c>
      <c r="F108" s="163" t="s">
        <v>182</v>
      </c>
      <c r="G108" s="77"/>
      <c r="H108" s="73" t="s">
        <v>84</v>
      </c>
      <c r="I108" s="74" t="s">
        <v>181</v>
      </c>
      <c r="J108" s="164" t="str">
        <f>IF(E108="USD",D108*VLOOKUP(K108,'Kursy walut'!C:E,2,0),IF(E108="EUR",D108*VLOOKUP(K108,'Kursy walut'!C:E,3,0),D108))</f>
        <v>7.90</v>
      </c>
      <c r="K108" s="163" t="s">
        <v>182</v>
      </c>
      <c r="L108" s="165">
        <f>D108/VLOOKUP(E108,'Kursy walut'!C:E,2,0)</f>
        <v>1781.0669698422876</v>
      </c>
      <c r="M108" s="52" t="s">
        <v>86</v>
      </c>
      <c r="N108" s="165">
        <f>D108/VLOOKUP(E108,'Kursy walut'!C:E,3,0)</f>
        <v>1819.8184310638133</v>
      </c>
      <c r="O108" s="52" t="s">
        <v>85</v>
      </c>
    </row>
    <row r="109" spans="1:15" ht="13" x14ac:dyDescent="0.15">
      <c r="A109" s="73" t="s">
        <v>744</v>
      </c>
      <c r="B109" s="74" t="s">
        <v>477</v>
      </c>
      <c r="C109" s="125"/>
      <c r="E109" s="163" t="s">
        <v>478</v>
      </c>
      <c r="F109" s="163" t="s">
        <v>478</v>
      </c>
      <c r="G109" s="77"/>
      <c r="H109" s="73" t="s">
        <v>744</v>
      </c>
      <c r="I109" s="74" t="s">
        <v>477</v>
      </c>
      <c r="J109" s="164">
        <f>IF(E109="USD",D109*VLOOKUP(K109,'Kursy walut'!C:E,2,0),IF(E109="EUR",D109*VLOOKUP(K109,'Kursy walut'!C:E,3,0),D109))</f>
        <v>0</v>
      </c>
      <c r="K109" s="163" t="s">
        <v>478</v>
      </c>
      <c r="L109" s="165">
        <f>D109/VLOOKUP(E109,'Kursy walut'!C:E,2,0)</f>
        <v>0</v>
      </c>
      <c r="M109" s="52" t="s">
        <v>86</v>
      </c>
      <c r="N109" s="165">
        <f>D109/VLOOKUP(E109,'Kursy walut'!C:E,3,0)</f>
        <v>0</v>
      </c>
      <c r="O109" s="52" t="s">
        <v>85</v>
      </c>
    </row>
    <row r="110" spans="1:15" ht="13" x14ac:dyDescent="0.15">
      <c r="A110" s="73" t="s">
        <v>62</v>
      </c>
      <c r="B110" s="74" t="s">
        <v>185</v>
      </c>
      <c r="C110" s="125"/>
      <c r="D110" s="131" t="s">
        <v>862</v>
      </c>
      <c r="E110" s="166" t="s">
        <v>85</v>
      </c>
      <c r="F110" s="163" t="s">
        <v>186</v>
      </c>
      <c r="G110" s="77"/>
      <c r="H110" s="73" t="s">
        <v>62</v>
      </c>
      <c r="I110" s="74" t="s">
        <v>185</v>
      </c>
      <c r="J110" s="164">
        <f>IF(E110="USD",D110*VLOOKUP(K110,'Kursy walut'!C:E,2,0),IF(E110="EUR",D110*VLOOKUP(K110,'Kursy walut'!C:E,3,0),D110))</f>
        <v>1310422.5547</v>
      </c>
      <c r="K110" s="163" t="s">
        <v>186</v>
      </c>
      <c r="L110" s="165">
        <f>D110/VLOOKUP(E110,'Kursy walut'!C:E,2,0)</f>
        <v>35489.582314389125</v>
      </c>
      <c r="M110" s="52" t="s">
        <v>86</v>
      </c>
      <c r="N110" s="165">
        <f>D110/VLOOKUP(E110,'Kursy walut'!C:E,3,0)</f>
        <v>36281</v>
      </c>
      <c r="O110" s="52" t="s">
        <v>85</v>
      </c>
    </row>
    <row r="111" spans="1:15" ht="13" x14ac:dyDescent="0.15">
      <c r="A111" s="73" t="s">
        <v>69</v>
      </c>
      <c r="B111" s="74" t="s">
        <v>516</v>
      </c>
      <c r="C111" s="125"/>
      <c r="D111" s="52">
        <v>5.99</v>
      </c>
      <c r="E111" s="166" t="s">
        <v>86</v>
      </c>
      <c r="F111" s="163" t="s">
        <v>184</v>
      </c>
      <c r="G111" s="77"/>
      <c r="H111" s="73" t="s">
        <v>69</v>
      </c>
      <c r="I111" s="74" t="s">
        <v>516</v>
      </c>
      <c r="J111" s="164">
        <f>IF(E111="USD",D111*VLOOKUP(K111,'Kursy walut'!C:E,2,0),IF(E111="EUR",D111*VLOOKUP(K111,'Kursy walut'!C:E,3,0),D111))</f>
        <v>22.001868999999999</v>
      </c>
      <c r="K111" s="163" t="s">
        <v>184</v>
      </c>
      <c r="L111" s="165">
        <f>D111/VLOOKUP(E111,'Kursy walut'!C:E,2,0)</f>
        <v>5.99</v>
      </c>
      <c r="M111" s="52" t="s">
        <v>86</v>
      </c>
      <c r="N111" s="165">
        <f>D111/VLOOKUP(E111,'Kursy walut'!C:E,3,0)</f>
        <v>6.1234921283991008</v>
      </c>
      <c r="O111" s="52" t="s">
        <v>85</v>
      </c>
    </row>
    <row r="112" spans="1:15" ht="13" x14ac:dyDescent="0.15">
      <c r="A112" s="73" t="s">
        <v>27</v>
      </c>
      <c r="B112" s="74" t="s">
        <v>187</v>
      </c>
      <c r="C112" s="167" t="s">
        <v>896</v>
      </c>
      <c r="D112" s="146" t="s">
        <v>513</v>
      </c>
      <c r="E112" s="163" t="s">
        <v>188</v>
      </c>
      <c r="F112" s="163" t="s">
        <v>188</v>
      </c>
      <c r="G112" s="77"/>
      <c r="H112" s="73" t="s">
        <v>27</v>
      </c>
      <c r="I112" s="74" t="s">
        <v>187</v>
      </c>
      <c r="J112" s="164" t="str">
        <f>IF(E112="USD",D112*VLOOKUP(K112,'Kursy walut'!C:E,2,0),IF(E112="EUR",D112*VLOOKUP(K112,'Kursy walut'!C:E,3,0),D112))</f>
        <v>7.99</v>
      </c>
      <c r="K112" s="163" t="s">
        <v>188</v>
      </c>
      <c r="L112" s="165">
        <f>D112/VLOOKUP(E112,'Kursy walut'!C:E,2,0)</f>
        <v>40601.050161993073</v>
      </c>
      <c r="M112" s="52" t="s">
        <v>86</v>
      </c>
      <c r="N112" s="165">
        <f>D112/VLOOKUP(E112,'Kursy walut'!C:E,3,0)</f>
        <v>41227.453204764606</v>
      </c>
      <c r="O112" s="52" t="s">
        <v>85</v>
      </c>
    </row>
    <row r="113" spans="1:15" ht="13" x14ac:dyDescent="0.15">
      <c r="A113" s="73" t="s">
        <v>26</v>
      </c>
      <c r="B113" s="74" t="s">
        <v>189</v>
      </c>
      <c r="C113" s="167" t="s">
        <v>615</v>
      </c>
      <c r="D113" s="131" t="s">
        <v>615</v>
      </c>
      <c r="E113" s="163" t="s">
        <v>86</v>
      </c>
      <c r="F113" s="163" t="s">
        <v>86</v>
      </c>
      <c r="G113" s="77"/>
      <c r="H113" s="73" t="s">
        <v>26</v>
      </c>
      <c r="I113" s="74" t="s">
        <v>189</v>
      </c>
      <c r="J113" s="164" t="e">
        <f>IF(E113="USD",D113*VLOOKUP(K113,'Kursy walut'!C:E,2,0),IF(E113="EUR",D113*VLOOKUP(K113,'Kursy walut'!C:E,3,0),D113))</f>
        <v>#VALUE!</v>
      </c>
      <c r="K113" s="163" t="s">
        <v>86</v>
      </c>
      <c r="L113" s="165" t="e">
        <f>D113/VLOOKUP(E113,'Kursy walut'!C:E,2,0)</f>
        <v>#VALUE!</v>
      </c>
      <c r="M113" s="52" t="s">
        <v>86</v>
      </c>
      <c r="N113" s="165" t="e">
        <f>D113/VLOOKUP(E113,'Kursy walut'!C:E,3,0)</f>
        <v>#VALUE!</v>
      </c>
      <c r="O113" s="52" t="s">
        <v>85</v>
      </c>
    </row>
    <row r="114" spans="1:15" ht="13" x14ac:dyDescent="0.15">
      <c r="A114" s="73" t="s">
        <v>747</v>
      </c>
      <c r="B114" s="74" t="s">
        <v>748</v>
      </c>
      <c r="C114" s="125"/>
      <c r="E114" s="163" t="s">
        <v>485</v>
      </c>
      <c r="F114" s="163" t="s">
        <v>485</v>
      </c>
      <c r="G114" s="77"/>
      <c r="H114" s="73" t="s">
        <v>747</v>
      </c>
      <c r="I114" s="74" t="s">
        <v>748</v>
      </c>
      <c r="J114" s="164">
        <f>IF(E114="USD",D114*VLOOKUP(K114,'Kursy walut'!C:E,2,0),IF(E114="EUR",D114*VLOOKUP(K114,'Kursy walut'!C:E,3,0),D114))</f>
        <v>0</v>
      </c>
      <c r="K114" s="163" t="s">
        <v>485</v>
      </c>
      <c r="L114" s="165">
        <f>D114/VLOOKUP(E114,'Kursy walut'!C:E,2,0)</f>
        <v>0</v>
      </c>
      <c r="M114" s="52" t="s">
        <v>86</v>
      </c>
      <c r="N114" s="165">
        <f>D114/VLOOKUP(E114,'Kursy walut'!C:E,3,0)</f>
        <v>0</v>
      </c>
      <c r="O114" s="52" t="s">
        <v>85</v>
      </c>
    </row>
    <row r="115" spans="1:15" ht="13" x14ac:dyDescent="0.15">
      <c r="A115" s="73" t="s">
        <v>749</v>
      </c>
      <c r="B115" s="74" t="s">
        <v>487</v>
      </c>
      <c r="C115" s="125"/>
      <c r="E115" s="163" t="s">
        <v>488</v>
      </c>
      <c r="F115" s="163" t="s">
        <v>488</v>
      </c>
      <c r="G115" s="77"/>
      <c r="H115" s="73" t="s">
        <v>749</v>
      </c>
      <c r="I115" s="74" t="s">
        <v>487</v>
      </c>
      <c r="J115" s="164">
        <f>IF(E115="USD",D115*VLOOKUP(K115,'Kursy walut'!C:E,2,0),IF(E115="EUR",D115*VLOOKUP(K115,'Kursy walut'!C:E,3,0),D115))</f>
        <v>0</v>
      </c>
      <c r="K115" s="163" t="s">
        <v>488</v>
      </c>
      <c r="L115" s="165">
        <f>D115/VLOOKUP(E115,'Kursy walut'!C:E,2,0)</f>
        <v>0</v>
      </c>
      <c r="M115" s="52" t="s">
        <v>86</v>
      </c>
      <c r="N115" s="165">
        <f>D115/VLOOKUP(E115,'Kursy walut'!C:E,3,0)</f>
        <v>0</v>
      </c>
      <c r="O115" s="52" t="s">
        <v>85</v>
      </c>
    </row>
    <row r="116" spans="1:15" ht="13" x14ac:dyDescent="0.15">
      <c r="A116" s="73" t="s">
        <v>750</v>
      </c>
      <c r="B116" s="74" t="s">
        <v>751</v>
      </c>
      <c r="C116" s="125"/>
      <c r="E116" s="163" t="s">
        <v>897</v>
      </c>
      <c r="F116" s="166" t="s">
        <v>491</v>
      </c>
      <c r="G116" s="77"/>
      <c r="H116" s="73" t="s">
        <v>750</v>
      </c>
      <c r="I116" s="74" t="s">
        <v>751</v>
      </c>
      <c r="J116" s="164">
        <f>IF(E116="USD",D116*VLOOKUP(K116,'Kursy walut'!C:E,2,0),IF(E116="EUR",D116*VLOOKUP(K116,'Kursy walut'!C:E,3,0),D116))</f>
        <v>0</v>
      </c>
      <c r="K116" s="166" t="s">
        <v>491</v>
      </c>
      <c r="L116" s="165" t="e">
        <f>D116/VLOOKUP(E116,'Kursy walut'!C:E,2,0)</f>
        <v>#N/A</v>
      </c>
      <c r="M116" s="52" t="s">
        <v>86</v>
      </c>
      <c r="N116" s="165" t="e">
        <f>D116/VLOOKUP(E116,'Kursy walut'!C:E,3,0)</f>
        <v>#N/A</v>
      </c>
      <c r="O116" s="52" t="s">
        <v>85</v>
      </c>
    </row>
    <row r="117" spans="1:15" ht="13" x14ac:dyDescent="0.15">
      <c r="A117" s="73" t="s">
        <v>79</v>
      </c>
      <c r="B117" s="74" t="s">
        <v>190</v>
      </c>
      <c r="C117" s="125"/>
      <c r="D117" s="131" t="s">
        <v>898</v>
      </c>
      <c r="E117" s="163" t="s">
        <v>191</v>
      </c>
      <c r="F117" s="163" t="s">
        <v>191</v>
      </c>
      <c r="G117" s="77"/>
      <c r="H117" s="73" t="s">
        <v>79</v>
      </c>
      <c r="I117" s="74" t="s">
        <v>190</v>
      </c>
      <c r="J117" s="164" t="str">
        <f>IF(E117="USD",D117*VLOOKUP(K117,'Kursy walut'!C:E,2,0),IF(E117="EUR",D117*VLOOKUP(K117,'Kursy walut'!C:E,3,0),D117))</f>
        <v>120,000.00</v>
      </c>
      <c r="K117" s="163" t="s">
        <v>191</v>
      </c>
      <c r="L117" s="165" t="e">
        <f>D117/VLOOKUP(E117,'Kursy walut'!C:E,2,0)</f>
        <v>#VALUE!</v>
      </c>
      <c r="M117" s="52" t="s">
        <v>86</v>
      </c>
      <c r="N117" s="165" t="e">
        <f>D117/VLOOKUP(E117,'Kursy walut'!C:E,3,0)</f>
        <v>#VALUE!</v>
      </c>
      <c r="O117" s="52" t="s">
        <v>85</v>
      </c>
    </row>
    <row r="118" spans="1:15" ht="13" x14ac:dyDescent="0.15">
      <c r="A118" s="73" t="s">
        <v>758</v>
      </c>
      <c r="B118" s="74" t="s">
        <v>497</v>
      </c>
      <c r="C118" s="125"/>
      <c r="E118" s="163" t="s">
        <v>498</v>
      </c>
      <c r="F118" s="163" t="s">
        <v>498</v>
      </c>
      <c r="G118" s="77"/>
      <c r="H118" s="73" t="s">
        <v>758</v>
      </c>
      <c r="I118" s="74" t="s">
        <v>497</v>
      </c>
      <c r="J118" s="164">
        <f>IF(E118="USD",D118*VLOOKUP(K118,'Kursy walut'!C:E,2,0),IF(E118="EUR",D118*VLOOKUP(K118,'Kursy walut'!C:E,3,0),D118))</f>
        <v>0</v>
      </c>
      <c r="K118" s="163" t="s">
        <v>498</v>
      </c>
      <c r="L118" s="165">
        <f>D118/VLOOKUP(E118,'Kursy walut'!C:E,2,0)</f>
        <v>0</v>
      </c>
      <c r="M118" s="52" t="s">
        <v>86</v>
      </c>
      <c r="N118" s="165">
        <f>D118/VLOOKUP(E118,'Kursy walut'!C:E,3,0)</f>
        <v>0</v>
      </c>
      <c r="O118" s="52" t="s">
        <v>85</v>
      </c>
    </row>
  </sheetData>
  <autoFilter ref="A1:O118" xr:uid="{00000000-0009-0000-0000-00000E000000}"/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N6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12.6640625" defaultRowHeight="15.75" customHeight="1" x14ac:dyDescent="0.15"/>
  <sheetData>
    <row r="1" spans="1:14" ht="15.75" customHeight="1" x14ac:dyDescent="0.15">
      <c r="A1" s="1" t="s">
        <v>899</v>
      </c>
      <c r="B1" s="1" t="s">
        <v>502</v>
      </c>
      <c r="C1" s="52" t="s">
        <v>900</v>
      </c>
      <c r="D1" s="170" t="s">
        <v>901</v>
      </c>
      <c r="E1" s="52" t="s">
        <v>507</v>
      </c>
      <c r="G1" s="1" t="s">
        <v>899</v>
      </c>
      <c r="H1" s="1" t="s">
        <v>502</v>
      </c>
      <c r="I1" s="52" t="s">
        <v>510</v>
      </c>
      <c r="J1" s="52" t="s">
        <v>509</v>
      </c>
      <c r="K1" s="52" t="s">
        <v>510</v>
      </c>
      <c r="L1" s="52" t="s">
        <v>86</v>
      </c>
      <c r="M1" s="52" t="s">
        <v>510</v>
      </c>
      <c r="N1" s="52" t="s">
        <v>85</v>
      </c>
    </row>
    <row r="2" spans="1:14" ht="15.75" customHeight="1" x14ac:dyDescent="0.15">
      <c r="A2" s="52" t="s">
        <v>83</v>
      </c>
      <c r="B2" s="14" t="str">
        <f ca="1">VLOOKUP(A2,'Country Names'!$1:$1000,2,0)</f>
        <v>Argentina</v>
      </c>
      <c r="C2" s="52">
        <v>9.99</v>
      </c>
      <c r="D2" s="170" t="s">
        <v>86</v>
      </c>
      <c r="E2" s="172" t="str">
        <f>VLOOKUP(A2,'Kursy walut'!A:E,3,0)</f>
        <v>ARS</v>
      </c>
      <c r="G2" s="52" t="s">
        <v>83</v>
      </c>
      <c r="H2" s="14" t="str">
        <f ca="1">VLOOKUP(G2,'Country Names'!$1:$1000,2,0)</f>
        <v>Argentina</v>
      </c>
      <c r="I2" s="56">
        <f>IF(D2="USD",C2*VLOOKUP(J2,'Kursy walut'!C:E,2,0),IF(D2="EUR",C2*VLOOKUP(J2,'Kursy walut'!C:E,3,0),C2))</f>
        <v>1491.9525540000002</v>
      </c>
      <c r="J2" s="173" t="str">
        <f>VLOOKUP(A2,'Kursy walut'!A:E,3,0)</f>
        <v>ARS</v>
      </c>
      <c r="K2" s="52">
        <f>C2/VLOOKUP(D2,'Kursy walut'!C:E,2,0)</f>
        <v>9.99</v>
      </c>
      <c r="L2" s="170" t="s">
        <v>86</v>
      </c>
      <c r="M2" s="56">
        <f>C2/VLOOKUP(D2,'Kursy walut'!C:E,3,0)</f>
        <v>10.212635452872624</v>
      </c>
      <c r="N2" s="52" t="s">
        <v>85</v>
      </c>
    </row>
    <row r="3" spans="1:14" ht="15.75" customHeight="1" x14ac:dyDescent="0.15">
      <c r="A3" s="52" t="s">
        <v>57</v>
      </c>
      <c r="B3" s="14" t="str">
        <f ca="1">VLOOKUP(A3,'Country Names'!$1:$1000,2,0)</f>
        <v>Australia</v>
      </c>
      <c r="C3" s="52">
        <v>9.99</v>
      </c>
      <c r="D3" s="170" t="s">
        <v>86</v>
      </c>
      <c r="E3" s="172" t="str">
        <f>VLOOKUP(A3,'Kursy walut'!A:E,3,0)</f>
        <v>AUD</v>
      </c>
      <c r="G3" s="52" t="s">
        <v>57</v>
      </c>
      <c r="H3" s="14" t="str">
        <f ca="1">VLOOKUP(G3,'Country Names'!$1:$1000,2,0)</f>
        <v>Australia</v>
      </c>
      <c r="I3" s="56">
        <f>IF(D3="USD",C3*VLOOKUP(J3,'Kursy walut'!C:E,2,0),IF(D3="EUR",C3*VLOOKUP(J3,'Kursy walut'!C:E,3,0),C3))</f>
        <v>15.536448</v>
      </c>
      <c r="J3" s="173" t="str">
        <f>VLOOKUP(A3,'Kursy walut'!A:E,3,0)</f>
        <v>AUD</v>
      </c>
      <c r="K3" s="52">
        <f>C3/VLOOKUP(D3,'Kursy walut'!C:E,2,0)</f>
        <v>9.99</v>
      </c>
      <c r="L3" s="170" t="s">
        <v>86</v>
      </c>
      <c r="M3" s="56">
        <f>C3/VLOOKUP(D3,'Kursy walut'!C:E,3,0)</f>
        <v>10.212635452872624</v>
      </c>
      <c r="N3" s="52" t="s">
        <v>85</v>
      </c>
    </row>
    <row r="4" spans="1:14" ht="15.75" customHeight="1" x14ac:dyDescent="0.15">
      <c r="A4" s="52" t="s">
        <v>547</v>
      </c>
      <c r="B4" s="14" t="str">
        <f ca="1">VLOOKUP(A4,'Country Names'!$1:$1000,2,0)</f>
        <v>Belarus</v>
      </c>
      <c r="C4" s="52">
        <v>9.99</v>
      </c>
      <c r="D4" s="170" t="s">
        <v>86</v>
      </c>
      <c r="E4" s="172" t="str">
        <f>VLOOKUP(A4,'Kursy walut'!A:E,3,0)</f>
        <v>BYN</v>
      </c>
      <c r="G4" s="52" t="s">
        <v>547</v>
      </c>
      <c r="H4" s="14" t="str">
        <f ca="1">VLOOKUP(G4,'Country Names'!$1:$1000,2,0)</f>
        <v>Belarus</v>
      </c>
      <c r="I4" s="56">
        <f>IF(D4="USD",C4*VLOOKUP(J4,'Kursy walut'!C:E,2,0),IF(D4="EUR",C4*VLOOKUP(J4,'Kursy walut'!C:E,3,0),C4))</f>
        <v>25.339635000000001</v>
      </c>
      <c r="J4" s="173" t="str">
        <f>VLOOKUP(A4,'Kursy walut'!A:E,3,0)</f>
        <v>BYN</v>
      </c>
      <c r="K4" s="52">
        <f>C4/VLOOKUP(D4,'Kursy walut'!C:E,2,0)</f>
        <v>9.99</v>
      </c>
      <c r="L4" s="170" t="s">
        <v>86</v>
      </c>
      <c r="M4" s="56">
        <f>C4/VLOOKUP(D4,'Kursy walut'!C:E,3,0)</f>
        <v>10.212635452872624</v>
      </c>
      <c r="N4" s="52" t="s">
        <v>85</v>
      </c>
    </row>
    <row r="5" spans="1:14" ht="15.75" customHeight="1" x14ac:dyDescent="0.15">
      <c r="A5" s="52" t="s">
        <v>77</v>
      </c>
      <c r="B5" s="14" t="str">
        <f ca="1">VLOOKUP(A5,'Country Names'!$1:$1000,2,0)</f>
        <v>Brazil</v>
      </c>
      <c r="C5" s="52">
        <v>9.99</v>
      </c>
      <c r="D5" s="170" t="s">
        <v>86</v>
      </c>
      <c r="E5" s="172" t="str">
        <f>VLOOKUP(A5,'Kursy walut'!A:E,3,0)</f>
        <v>BRL</v>
      </c>
      <c r="G5" s="52" t="s">
        <v>77</v>
      </c>
      <c r="H5" s="14" t="str">
        <f ca="1">VLOOKUP(G5,'Country Names'!$1:$1000,2,0)</f>
        <v>Brazil</v>
      </c>
      <c r="I5" s="56">
        <f>IF(D5="USD",C5*VLOOKUP(J5,'Kursy walut'!C:E,2,0),IF(D5="EUR",C5*VLOOKUP(J5,'Kursy walut'!C:E,3,0),C5))</f>
        <v>52.596350999999999</v>
      </c>
      <c r="J5" s="173" t="str">
        <f>VLOOKUP(A5,'Kursy walut'!A:E,3,0)</f>
        <v>BRL</v>
      </c>
      <c r="K5" s="52">
        <f>C5/VLOOKUP(D5,'Kursy walut'!C:E,2,0)</f>
        <v>9.99</v>
      </c>
      <c r="L5" s="170" t="s">
        <v>86</v>
      </c>
      <c r="M5" s="56">
        <f>C5/VLOOKUP(D5,'Kursy walut'!C:E,3,0)</f>
        <v>10.212635452872624</v>
      </c>
      <c r="N5" s="52" t="s">
        <v>85</v>
      </c>
    </row>
    <row r="6" spans="1:14" ht="15.75" customHeight="1" x14ac:dyDescent="0.15">
      <c r="A6" s="52" t="s">
        <v>68</v>
      </c>
      <c r="B6" s="14" t="str">
        <f ca="1">VLOOKUP(A6,'Country Names'!$1:$1000,2,0)</f>
        <v>Chile</v>
      </c>
      <c r="C6" s="52">
        <v>9.99</v>
      </c>
      <c r="D6" s="170" t="s">
        <v>86</v>
      </c>
      <c r="E6" s="172" t="str">
        <f>VLOOKUP(A6,'Kursy walut'!A:E,3,0)</f>
        <v>CLP</v>
      </c>
      <c r="G6" s="52" t="s">
        <v>68</v>
      </c>
      <c r="H6" s="14" t="str">
        <f ca="1">VLOOKUP(G6,'Country Names'!$1:$1000,2,0)</f>
        <v>Chile</v>
      </c>
      <c r="I6" s="56">
        <f>IF(D6="USD",C6*VLOOKUP(J6,'Kursy walut'!C:E,2,0),IF(D6="EUR",C6*VLOOKUP(J6,'Kursy walut'!C:E,3,0),C6))</f>
        <v>9448.3621800000001</v>
      </c>
      <c r="J6" s="173" t="str">
        <f>VLOOKUP(A6,'Kursy walut'!A:E,3,0)</f>
        <v>CLP</v>
      </c>
      <c r="K6" s="52">
        <f>C6/VLOOKUP(D6,'Kursy walut'!C:E,2,0)</f>
        <v>9.99</v>
      </c>
      <c r="L6" s="170" t="s">
        <v>86</v>
      </c>
      <c r="M6" s="56">
        <f>C6/VLOOKUP(D6,'Kursy walut'!C:E,3,0)</f>
        <v>10.212635452872624</v>
      </c>
      <c r="N6" s="52" t="s">
        <v>85</v>
      </c>
    </row>
    <row r="7" spans="1:14" ht="15.75" customHeight="1" x14ac:dyDescent="0.15">
      <c r="A7" s="52" t="s">
        <v>80</v>
      </c>
      <c r="B7" s="14" t="str">
        <f ca="1">VLOOKUP(A7,'Country Names'!$1:$1000,2,0)</f>
        <v>Colombia</v>
      </c>
      <c r="C7" s="52">
        <v>9.99</v>
      </c>
      <c r="D7" s="170" t="s">
        <v>86</v>
      </c>
      <c r="E7" s="172" t="str">
        <f>VLOOKUP(A7,'Kursy walut'!A:E,3,0)</f>
        <v>COP</v>
      </c>
      <c r="G7" s="52" t="s">
        <v>80</v>
      </c>
      <c r="H7" s="14" t="str">
        <f ca="1">VLOOKUP(G7,'Country Names'!$1:$1000,2,0)</f>
        <v>Colombia</v>
      </c>
      <c r="I7" s="56">
        <f>IF(D7="USD",C7*VLOOKUP(J7,'Kursy walut'!C:E,2,0),IF(D7="EUR",C7*VLOOKUP(J7,'Kursy walut'!C:E,3,0),C7))</f>
        <v>45925.821207000001</v>
      </c>
      <c r="J7" s="173" t="str">
        <f>VLOOKUP(A7,'Kursy walut'!A:E,3,0)</f>
        <v>COP</v>
      </c>
      <c r="K7" s="52">
        <f>C7/VLOOKUP(D7,'Kursy walut'!C:E,2,0)</f>
        <v>9.99</v>
      </c>
      <c r="L7" s="170" t="s">
        <v>86</v>
      </c>
      <c r="M7" s="56">
        <f>C7/VLOOKUP(D7,'Kursy walut'!C:E,3,0)</f>
        <v>10.212635452872624</v>
      </c>
      <c r="N7" s="52" t="s">
        <v>85</v>
      </c>
    </row>
    <row r="8" spans="1:14" ht="15.75" customHeight="1" x14ac:dyDescent="0.15">
      <c r="A8" s="52" t="s">
        <v>41</v>
      </c>
      <c r="B8" s="14" t="str">
        <f ca="1">VLOOKUP(A8,'Country Names'!$1:$1000,2,0)</f>
        <v>Czechia</v>
      </c>
      <c r="C8" s="52">
        <v>9.99</v>
      </c>
      <c r="D8" s="170" t="s">
        <v>86</v>
      </c>
      <c r="E8" s="172" t="str">
        <f>VLOOKUP(A8,'Kursy walut'!A:E,3,0)</f>
        <v>CZK</v>
      </c>
      <c r="G8" s="52" t="s">
        <v>41</v>
      </c>
      <c r="H8" s="14" t="str">
        <f ca="1">VLOOKUP(G8,'Country Names'!$1:$1000,2,0)</f>
        <v>Czechia</v>
      </c>
      <c r="I8" s="56">
        <f>IF(D8="USD",C8*VLOOKUP(J8,'Kursy walut'!C:E,2,0),IF(D8="EUR",C8*VLOOKUP(J8,'Kursy walut'!C:E,3,0),C8))</f>
        <v>250.63111800000001</v>
      </c>
      <c r="J8" s="173" t="str">
        <f>VLOOKUP(A8,'Kursy walut'!A:E,3,0)</f>
        <v>CZK</v>
      </c>
      <c r="K8" s="52">
        <f>C8/VLOOKUP(D8,'Kursy walut'!C:E,2,0)</f>
        <v>9.99</v>
      </c>
      <c r="L8" s="170" t="s">
        <v>86</v>
      </c>
      <c r="M8" s="56">
        <f>C8/VLOOKUP(D8,'Kursy walut'!C:E,3,0)</f>
        <v>10.212635452872624</v>
      </c>
      <c r="N8" s="52" t="s">
        <v>85</v>
      </c>
    </row>
    <row r="9" spans="1:14" ht="15.75" customHeight="1" x14ac:dyDescent="0.15">
      <c r="A9" s="52" t="s">
        <v>58</v>
      </c>
      <c r="B9" s="14" t="str">
        <f ca="1">VLOOKUP(A9,'Country Names'!$1:$1000,2,0)</f>
        <v>Mexico</v>
      </c>
      <c r="C9" s="52">
        <v>9.99</v>
      </c>
      <c r="D9" s="170" t="s">
        <v>86</v>
      </c>
      <c r="E9" s="172" t="str">
        <f>VLOOKUP(A9,'Kursy walut'!A:E,3,0)</f>
        <v>MXN</v>
      </c>
      <c r="G9" s="52" t="s">
        <v>58</v>
      </c>
      <c r="H9" s="14" t="str">
        <f ca="1">VLOOKUP(G9,'Country Names'!$1:$1000,2,0)</f>
        <v>Mexico</v>
      </c>
      <c r="I9" s="56">
        <f>IF(D9="USD",C9*VLOOKUP(J9,'Kursy walut'!C:E,2,0),IF(D9="EUR",C9*VLOOKUP(J9,'Kursy walut'!C:E,3,0),C9))</f>
        <v>200.31148800000003</v>
      </c>
      <c r="J9" s="173" t="str">
        <f>VLOOKUP(A9,'Kursy walut'!A:E,3,0)</f>
        <v>MXN</v>
      </c>
      <c r="K9" s="52">
        <f>C9/VLOOKUP(D9,'Kursy walut'!C:E,2,0)</f>
        <v>9.99</v>
      </c>
      <c r="L9" s="170" t="s">
        <v>86</v>
      </c>
      <c r="M9" s="56">
        <f>C9/VLOOKUP(D9,'Kursy walut'!C:E,3,0)</f>
        <v>10.212635452872624</v>
      </c>
      <c r="N9" s="52" t="s">
        <v>85</v>
      </c>
    </row>
    <row r="10" spans="1:14" ht="15.75" customHeight="1" x14ac:dyDescent="0.15">
      <c r="A10" s="52" t="s">
        <v>70</v>
      </c>
      <c r="B10" s="14" t="str">
        <f ca="1">VLOOKUP(A10,'Country Names'!$1:$1000,2,0)</f>
        <v>Poland</v>
      </c>
      <c r="C10" s="52">
        <v>9.99</v>
      </c>
      <c r="D10" s="170" t="s">
        <v>86</v>
      </c>
      <c r="E10" s="172" t="str">
        <f>VLOOKUP(A10,'Kursy walut'!A:E,3,0)</f>
        <v>PLN</v>
      </c>
      <c r="G10" s="52" t="s">
        <v>70</v>
      </c>
      <c r="H10" s="14" t="str">
        <f ca="1">VLOOKUP(G10,'Country Names'!$1:$1000,2,0)</f>
        <v>Poland</v>
      </c>
      <c r="I10" s="56">
        <f>IF(D10="USD",C10*VLOOKUP(J10,'Kursy walut'!C:E,2,0),IF(D10="EUR",C10*VLOOKUP(J10,'Kursy walut'!C:E,3,0),C10))</f>
        <v>49.461489000000007</v>
      </c>
      <c r="J10" s="173" t="str">
        <f>VLOOKUP(A10,'Kursy walut'!A:E,3,0)</f>
        <v>PLN</v>
      </c>
      <c r="K10" s="52">
        <f>C10/VLOOKUP(D10,'Kursy walut'!C:E,2,0)</f>
        <v>9.99</v>
      </c>
      <c r="L10" s="170" t="s">
        <v>86</v>
      </c>
      <c r="M10" s="56">
        <f>C10/VLOOKUP(D10,'Kursy walut'!C:E,3,0)</f>
        <v>10.212635452872624</v>
      </c>
      <c r="N10" s="52" t="s">
        <v>85</v>
      </c>
    </row>
    <row r="11" spans="1:14" ht="15.75" customHeight="1" x14ac:dyDescent="0.15">
      <c r="A11" s="52" t="s">
        <v>709</v>
      </c>
      <c r="B11" s="14" t="str">
        <f ca="1">VLOOKUP(A11,'Country Names'!$1:$1000,2,0)</f>
        <v>Russia</v>
      </c>
      <c r="C11" s="52">
        <v>9.99</v>
      </c>
      <c r="D11" s="170" t="s">
        <v>86</v>
      </c>
      <c r="E11" s="172" t="str">
        <f>VLOOKUP(A11,'Kursy walut'!A:E,3,0)</f>
        <v>RUB</v>
      </c>
      <c r="G11" s="52" t="s">
        <v>709</v>
      </c>
      <c r="H11" s="14" t="str">
        <f ca="1">VLOOKUP(G11,'Country Names'!$1:$1000,2,0)</f>
        <v>Russia</v>
      </c>
      <c r="I11" s="56">
        <f>IF(D11="USD",C11*VLOOKUP(J11,'Kursy walut'!C:E,2,0),IF(D11="EUR",C11*VLOOKUP(J11,'Kursy walut'!C:E,3,0),C11))</f>
        <v>616.54583700000001</v>
      </c>
      <c r="J11" s="173" t="str">
        <f>VLOOKUP(A11,'Kursy walut'!A:E,3,0)</f>
        <v>RUB</v>
      </c>
      <c r="K11" s="52">
        <f>C11/VLOOKUP(D11,'Kursy walut'!C:E,2,0)</f>
        <v>9.99</v>
      </c>
      <c r="L11" s="170" t="s">
        <v>86</v>
      </c>
      <c r="M11" s="56">
        <f>C11/VLOOKUP(D11,'Kursy walut'!C:E,3,0)</f>
        <v>10.212635452872624</v>
      </c>
      <c r="N11" s="52" t="s">
        <v>85</v>
      </c>
    </row>
    <row r="12" spans="1:14" ht="15.75" customHeight="1" x14ac:dyDescent="0.15">
      <c r="A12" s="52" t="s">
        <v>61</v>
      </c>
      <c r="B12" s="14" t="str">
        <f ca="1">VLOOKUP(A12,'Country Names'!$1:$1000,2,0)</f>
        <v>Singapore</v>
      </c>
      <c r="C12" s="52">
        <v>9.99</v>
      </c>
      <c r="D12" s="170" t="s">
        <v>86</v>
      </c>
      <c r="E12" s="172" t="str">
        <f>VLOOKUP(A12,'Kursy walut'!A:E,3,0)</f>
        <v>SGD</v>
      </c>
      <c r="G12" s="52" t="s">
        <v>61</v>
      </c>
      <c r="H12" s="14" t="str">
        <f ca="1">VLOOKUP(G12,'Country Names'!$1:$1000,2,0)</f>
        <v>Singapore</v>
      </c>
      <c r="I12" s="56">
        <f>IF(D12="USD",C12*VLOOKUP(J12,'Kursy walut'!C:E,2,0),IF(D12="EUR",C12*VLOOKUP(J12,'Kursy walut'!C:E,3,0),C12))</f>
        <v>14.303682</v>
      </c>
      <c r="J12" s="173" t="str">
        <f>VLOOKUP(A12,'Kursy walut'!A:E,3,0)</f>
        <v>SGD</v>
      </c>
      <c r="K12" s="52">
        <f>C12/VLOOKUP(D12,'Kursy walut'!C:E,2,0)</f>
        <v>9.99</v>
      </c>
      <c r="L12" s="170" t="s">
        <v>86</v>
      </c>
      <c r="M12" s="56">
        <f>C12/VLOOKUP(D12,'Kursy walut'!C:E,3,0)</f>
        <v>10.212635452872624</v>
      </c>
      <c r="N12" s="52" t="s">
        <v>85</v>
      </c>
    </row>
    <row r="13" spans="1:14" ht="15.75" customHeight="1" x14ac:dyDescent="0.15">
      <c r="A13" s="52" t="s">
        <v>47</v>
      </c>
      <c r="B13" s="14" t="str">
        <f ca="1">VLOOKUP(A13,'Country Names'!$1:$1000,2,0)</f>
        <v>Slovakia</v>
      </c>
      <c r="C13" s="52">
        <v>9.99</v>
      </c>
      <c r="D13" s="170" t="s">
        <v>86</v>
      </c>
      <c r="E13" s="172" t="str">
        <f>VLOOKUP(A13,'Kursy walut'!A:E,3,0)</f>
        <v>EUR</v>
      </c>
      <c r="G13" s="52" t="s">
        <v>47</v>
      </c>
      <c r="H13" s="14" t="str">
        <f ca="1">VLOOKUP(G13,'Country Names'!$1:$1000,2,0)</f>
        <v>Slovakia</v>
      </c>
      <c r="I13" s="56">
        <f>IF(D13="USD",C13*VLOOKUP(J13,'Kursy walut'!C:E,2,0),IF(D13="EUR",C13*VLOOKUP(J13,'Kursy walut'!C:E,3,0),C13))</f>
        <v>10.212777000000001</v>
      </c>
      <c r="J13" s="173" t="str">
        <f>VLOOKUP(A13,'Kursy walut'!A:E,3,0)</f>
        <v>EUR</v>
      </c>
      <c r="K13" s="52">
        <f>C13/VLOOKUP(D13,'Kursy walut'!C:E,2,0)</f>
        <v>9.99</v>
      </c>
      <c r="L13" s="170" t="s">
        <v>86</v>
      </c>
      <c r="M13" s="56">
        <f>C13/VLOOKUP(D13,'Kursy walut'!C:E,3,0)</f>
        <v>10.212635452872624</v>
      </c>
      <c r="N13" s="52" t="s">
        <v>85</v>
      </c>
    </row>
    <row r="14" spans="1:14" ht="15.75" customHeight="1" x14ac:dyDescent="0.15">
      <c r="A14" s="52" t="s">
        <v>33</v>
      </c>
      <c r="B14" s="14" t="str">
        <f ca="1">VLOOKUP(A14,'Country Names'!$1:$1000,2,0)</f>
        <v>Spain</v>
      </c>
      <c r="C14" s="52">
        <v>9.99</v>
      </c>
      <c r="D14" s="170" t="s">
        <v>86</v>
      </c>
      <c r="E14" s="172" t="str">
        <f>VLOOKUP(A14,'Kursy walut'!A:E,3,0)</f>
        <v>EUR</v>
      </c>
      <c r="G14" s="52" t="s">
        <v>33</v>
      </c>
      <c r="H14" s="14" t="str">
        <f ca="1">VLOOKUP(G14,'Country Names'!$1:$1000,2,0)</f>
        <v>Spain</v>
      </c>
      <c r="I14" s="56">
        <f>IF(D14="USD",C14*VLOOKUP(J14,'Kursy walut'!C:E,2,0),IF(D14="EUR",C14*VLOOKUP(J14,'Kursy walut'!C:E,3,0),C14))</f>
        <v>10.212777000000001</v>
      </c>
      <c r="J14" s="173" t="str">
        <f>VLOOKUP(A14,'Kursy walut'!A:E,3,0)</f>
        <v>EUR</v>
      </c>
      <c r="K14" s="52">
        <f>C14/VLOOKUP(D14,'Kursy walut'!C:E,2,0)</f>
        <v>9.99</v>
      </c>
      <c r="L14" s="170" t="s">
        <v>86</v>
      </c>
      <c r="M14" s="56">
        <f>C14/VLOOKUP(D14,'Kursy walut'!C:E,3,0)</f>
        <v>10.212635452872624</v>
      </c>
      <c r="N14" s="52" t="s">
        <v>85</v>
      </c>
    </row>
    <row r="15" spans="1:14" ht="15.75" customHeight="1" x14ac:dyDescent="0.15">
      <c r="A15" s="52" t="s">
        <v>84</v>
      </c>
      <c r="B15" s="14" t="str">
        <f ca="1">VLOOKUP(A15,'Country Names'!$1:$1000,2,0)</f>
        <v>Turkey</v>
      </c>
      <c r="C15" s="52">
        <v>9.99</v>
      </c>
      <c r="D15" s="170" t="s">
        <v>86</v>
      </c>
      <c r="E15" s="172" t="str">
        <f>VLOOKUP(A15,'Kursy walut'!A:E,3,0)</f>
        <v>TRY</v>
      </c>
      <c r="G15" s="52" t="s">
        <v>84</v>
      </c>
      <c r="H15" s="14" t="str">
        <f ca="1">VLOOKUP(G15,'Country Names'!$1:$1000,2,0)</f>
        <v>Turkey</v>
      </c>
      <c r="I15" s="56">
        <f>IF(D15="USD",C15*VLOOKUP(J15,'Kursy walut'!C:E,2,0),IF(D15="EUR",C15*VLOOKUP(J15,'Kursy walut'!C:E,3,0),C15))</f>
        <v>185.40540900000002</v>
      </c>
      <c r="J15" s="173" t="str">
        <f>VLOOKUP(A15,'Kursy walut'!A:E,3,0)</f>
        <v>TRY</v>
      </c>
      <c r="K15" s="52">
        <f>C15/VLOOKUP(D15,'Kursy walut'!C:E,2,0)</f>
        <v>9.99</v>
      </c>
      <c r="L15" s="170" t="s">
        <v>86</v>
      </c>
      <c r="M15" s="56">
        <f>C15/VLOOKUP(D15,'Kursy walut'!C:E,3,0)</f>
        <v>10.212635452872624</v>
      </c>
      <c r="N15" s="52" t="s">
        <v>85</v>
      </c>
    </row>
    <row r="16" spans="1:14" ht="15.75" customHeight="1" x14ac:dyDescent="0.15">
      <c r="A16" s="52" t="s">
        <v>62</v>
      </c>
      <c r="B16" s="14" t="str">
        <f ca="1">VLOOKUP(A16,'Country Names'!$1:$1000,2,0)</f>
        <v>Ukraine</v>
      </c>
      <c r="C16" s="52">
        <v>9.99</v>
      </c>
      <c r="D16" s="170" t="s">
        <v>86</v>
      </c>
      <c r="E16" s="172" t="str">
        <f>VLOOKUP(A16,'Kursy walut'!A:E,3,0)</f>
        <v>UAH</v>
      </c>
      <c r="G16" s="52" t="s">
        <v>62</v>
      </c>
      <c r="H16" s="14" t="str">
        <f ca="1">VLOOKUP(G16,'Country Names'!$1:$1000,2,0)</f>
        <v>Ukraine</v>
      </c>
      <c r="I16" s="56">
        <f>IF(D16="USD",C16*VLOOKUP(J16,'Kursy walut'!C:E,2,0),IF(D16="EUR",C16*VLOOKUP(J16,'Kursy walut'!C:E,3,0),C16))</f>
        <v>369.261369</v>
      </c>
      <c r="J16" s="173" t="str">
        <f>VLOOKUP(A16,'Kursy walut'!A:E,3,0)</f>
        <v>UAH</v>
      </c>
      <c r="K16" s="52">
        <f>C16/VLOOKUP(D16,'Kursy walut'!C:E,2,0)</f>
        <v>9.99</v>
      </c>
      <c r="L16" s="170" t="s">
        <v>86</v>
      </c>
      <c r="M16" s="56">
        <f>C16/VLOOKUP(D16,'Kursy walut'!C:E,3,0)</f>
        <v>10.212635452872624</v>
      </c>
      <c r="N16" s="52" t="s">
        <v>85</v>
      </c>
    </row>
    <row r="17" spans="1:14" ht="15.75" customHeight="1" x14ac:dyDescent="0.15">
      <c r="A17" s="52" t="s">
        <v>75</v>
      </c>
      <c r="B17" s="14" t="str">
        <f ca="1">VLOOKUP(A17,'Country Names'!$1:$1000,2,0)</f>
        <v>South Africa</v>
      </c>
      <c r="C17" s="52">
        <v>9.99</v>
      </c>
      <c r="D17" s="170" t="s">
        <v>86</v>
      </c>
      <c r="E17" s="172" t="str">
        <f>VLOOKUP(A17,'Kursy walut'!A:E,3,0)</f>
        <v>ZAR</v>
      </c>
      <c r="G17" s="52" t="s">
        <v>75</v>
      </c>
      <c r="H17" s="14" t="str">
        <f ca="1">VLOOKUP(G17,'Country Names'!$1:$1000,2,0)</f>
        <v>South Africa</v>
      </c>
      <c r="I17" s="56">
        <f>IF(D17="USD",C17*VLOOKUP(J17,'Kursy walut'!C:E,2,0),IF(D17="EUR",C17*VLOOKUP(J17,'Kursy walut'!C:E,3,0),C17))</f>
        <v>180.29452499999999</v>
      </c>
      <c r="J17" s="173" t="str">
        <f>VLOOKUP(A17,'Kursy walut'!A:E,3,0)</f>
        <v>ZAR</v>
      </c>
      <c r="K17" s="52">
        <f>C17/VLOOKUP(D17,'Kursy walut'!C:E,2,0)</f>
        <v>9.99</v>
      </c>
      <c r="L17" s="170" t="s">
        <v>86</v>
      </c>
      <c r="M17" s="56">
        <f>C17/VLOOKUP(D17,'Kursy walut'!C:E,3,0)</f>
        <v>10.212635452872624</v>
      </c>
      <c r="N17" s="52" t="s">
        <v>85</v>
      </c>
    </row>
    <row r="18" spans="1:14" ht="15.75" customHeight="1" x14ac:dyDescent="0.15">
      <c r="A18" s="52" t="s">
        <v>73</v>
      </c>
      <c r="B18" s="14" t="str">
        <f ca="1">VLOOKUP(A18,'Country Names'!$1:$1000,2,0)</f>
        <v>Malaysia</v>
      </c>
      <c r="C18" s="52">
        <v>9.99</v>
      </c>
      <c r="D18" s="170" t="s">
        <v>86</v>
      </c>
      <c r="E18" s="172" t="str">
        <f>VLOOKUP(A18,'Kursy walut'!A:E,3,0)</f>
        <v>MYR</v>
      </c>
      <c r="G18" s="52" t="s">
        <v>73</v>
      </c>
      <c r="H18" s="14" t="str">
        <f ca="1">VLOOKUP(G18,'Country Names'!$1:$1000,2,0)</f>
        <v>Malaysia</v>
      </c>
      <c r="I18" s="56">
        <f>IF(D18="USD",C18*VLOOKUP(J18,'Kursy walut'!C:E,2,0),IF(D18="EUR",C18*VLOOKUP(J18,'Kursy walut'!C:E,3,0),C18))</f>
        <v>46.480473000000003</v>
      </c>
      <c r="J18" s="173" t="str">
        <f>VLOOKUP(A18,'Kursy walut'!A:E,3,0)</f>
        <v>MYR</v>
      </c>
      <c r="K18" s="52">
        <f>C18/VLOOKUP(D18,'Kursy walut'!C:E,2,0)</f>
        <v>9.99</v>
      </c>
      <c r="L18" s="170" t="s">
        <v>86</v>
      </c>
      <c r="M18" s="56">
        <f>C18/VLOOKUP(D18,'Kursy walut'!C:E,3,0)</f>
        <v>10.212635452872624</v>
      </c>
      <c r="N18" s="52" t="s">
        <v>85</v>
      </c>
    </row>
    <row r="19" spans="1:14" ht="15.75" customHeight="1" x14ac:dyDescent="0.15">
      <c r="A19" s="52" t="s">
        <v>66</v>
      </c>
      <c r="B19" s="14" t="str">
        <f ca="1">VLOOKUP(A19,'Country Names'!$1:$1000,2,0)</f>
        <v>Nigeria</v>
      </c>
      <c r="C19" s="52">
        <v>9.99</v>
      </c>
      <c r="D19" s="170" t="s">
        <v>86</v>
      </c>
      <c r="E19" s="172" t="str">
        <f>VLOOKUP(A19,'Kursy walut'!A:E,3,0)</f>
        <v>NGN</v>
      </c>
      <c r="G19" s="52" t="s">
        <v>66</v>
      </c>
      <c r="H19" s="14" t="str">
        <f ca="1">VLOOKUP(G19,'Country Names'!$1:$1000,2,0)</f>
        <v>Nigeria</v>
      </c>
      <c r="I19" s="56">
        <f>IF(D19="USD",C19*VLOOKUP(J19,'Kursy walut'!C:E,2,0),IF(D19="EUR",C19*VLOOKUP(J19,'Kursy walut'!C:E,3,0),C19))</f>
        <v>4318.6640129999996</v>
      </c>
      <c r="J19" s="173" t="str">
        <f>VLOOKUP(A19,'Kursy walut'!A:E,3,0)</f>
        <v>NGN</v>
      </c>
      <c r="K19" s="52">
        <f>C19/VLOOKUP(D19,'Kursy walut'!C:E,2,0)</f>
        <v>9.99</v>
      </c>
      <c r="L19" s="170" t="s">
        <v>86</v>
      </c>
      <c r="M19" s="56">
        <f>C19/VLOOKUP(D19,'Kursy walut'!C:E,3,0)</f>
        <v>10.212635452872624</v>
      </c>
      <c r="N19" s="52" t="s">
        <v>85</v>
      </c>
    </row>
    <row r="20" spans="1:14" ht="15.75" customHeight="1" x14ac:dyDescent="0.15">
      <c r="A20" s="52" t="s">
        <v>81</v>
      </c>
      <c r="B20" s="14" t="str">
        <f ca="1">VLOOKUP(A20,'Country Names'!$1:$1000,2,0)</f>
        <v>Philippines</v>
      </c>
      <c r="C20" s="52">
        <v>9.99</v>
      </c>
      <c r="D20" s="170" t="s">
        <v>86</v>
      </c>
      <c r="E20" s="172" t="str">
        <f>VLOOKUP(A20,'Kursy walut'!A:E,3,0)</f>
        <v>PHP</v>
      </c>
      <c r="G20" s="52" t="s">
        <v>81</v>
      </c>
      <c r="H20" s="14" t="str">
        <f ca="1">VLOOKUP(G20,'Country Names'!$1:$1000,2,0)</f>
        <v>Philippines</v>
      </c>
      <c r="I20" s="56">
        <f>IF(D20="USD",C20*VLOOKUP(J20,'Kursy walut'!C:E,2,0),IF(D20="EUR",C20*VLOOKUP(J20,'Kursy walut'!C:E,3,0),C20))</f>
        <v>589.11229800000001</v>
      </c>
      <c r="J20" s="173" t="str">
        <f>VLOOKUP(A20,'Kursy walut'!A:E,3,0)</f>
        <v>PHP</v>
      </c>
      <c r="K20" s="52">
        <f>C20/VLOOKUP(D20,'Kursy walut'!C:E,2,0)</f>
        <v>9.99</v>
      </c>
      <c r="L20" s="170" t="s">
        <v>86</v>
      </c>
      <c r="M20" s="56">
        <f>C20/VLOOKUP(D20,'Kursy walut'!C:E,3,0)</f>
        <v>10.212635452872624</v>
      </c>
      <c r="N20" s="52" t="s">
        <v>85</v>
      </c>
    </row>
    <row r="21" spans="1:14" ht="15.75" customHeight="1" x14ac:dyDescent="0.15">
      <c r="A21" s="52" t="s">
        <v>74</v>
      </c>
      <c r="B21" s="14" t="str">
        <f ca="1">VLOOKUP(A21,'Country Names'!$1:$1000,2,0)</f>
        <v>Pakistan</v>
      </c>
      <c r="C21" s="52">
        <v>9.99</v>
      </c>
      <c r="D21" s="170" t="s">
        <v>86</v>
      </c>
      <c r="E21" s="172" t="str">
        <f>VLOOKUP(A21,'Kursy walut'!A:E,3,0)</f>
        <v>PKR</v>
      </c>
      <c r="G21" s="52" t="s">
        <v>74</v>
      </c>
      <c r="H21" s="14" t="str">
        <f ca="1">VLOOKUP(G21,'Country Names'!$1:$1000,2,0)</f>
        <v>Pakistan</v>
      </c>
      <c r="I21" s="56">
        <f>IF(D21="USD",C21*VLOOKUP(J21,'Kursy walut'!C:E,2,0),IF(D21="EUR",C21*VLOOKUP(J21,'Kursy walut'!C:E,3,0),C21))</f>
        <v>2225.7460260000003</v>
      </c>
      <c r="J21" s="173" t="str">
        <f>VLOOKUP(A21,'Kursy walut'!A:E,3,0)</f>
        <v>PKR</v>
      </c>
      <c r="K21" s="52">
        <f>C21/VLOOKUP(D21,'Kursy walut'!C:E,2,0)</f>
        <v>9.99</v>
      </c>
      <c r="L21" s="170" t="s">
        <v>86</v>
      </c>
      <c r="M21" s="56">
        <f>C21/VLOOKUP(D21,'Kursy walut'!C:E,3,0)</f>
        <v>10.212635452872624</v>
      </c>
      <c r="N21" s="52" t="s">
        <v>85</v>
      </c>
    </row>
    <row r="22" spans="1:14" ht="15.75" customHeight="1" x14ac:dyDescent="0.15">
      <c r="A22" s="52" t="s">
        <v>79</v>
      </c>
      <c r="B22" s="14" t="str">
        <f ca="1">VLOOKUP(A22,'Country Names'!$1:$1000,2,0)</f>
        <v>Vietnam</v>
      </c>
      <c r="C22" s="52">
        <v>9.99</v>
      </c>
      <c r="D22" s="170" t="s">
        <v>86</v>
      </c>
      <c r="E22" s="172" t="str">
        <f>VLOOKUP(A22,'Kursy walut'!A:E,3,0)</f>
        <v>VND</v>
      </c>
      <c r="G22" s="52" t="s">
        <v>79</v>
      </c>
      <c r="H22" s="14" t="str">
        <f ca="1">VLOOKUP(G22,'Country Names'!$1:$1000,2,0)</f>
        <v>Vietnam</v>
      </c>
      <c r="I22" s="56">
        <f>IF(D22="USD",C22*VLOOKUP(J22,'Kursy walut'!C:E,2,0),IF(D22="EUR",C22*VLOOKUP(J22,'Kursy walut'!C:E,3,0),C22))</f>
        <v>238982.44533300001</v>
      </c>
      <c r="J22" s="173" t="str">
        <f>VLOOKUP(A22,'Kursy walut'!A:E,3,0)</f>
        <v>VND</v>
      </c>
      <c r="K22" s="52">
        <f>C22/VLOOKUP(D22,'Kursy walut'!C:E,2,0)</f>
        <v>9.99</v>
      </c>
      <c r="L22" s="170" t="s">
        <v>86</v>
      </c>
      <c r="M22" s="56">
        <f>C22/VLOOKUP(D22,'Kursy walut'!C:E,3,0)</f>
        <v>10.212635452872624</v>
      </c>
      <c r="N22" s="52" t="s">
        <v>85</v>
      </c>
    </row>
    <row r="23" spans="1:14" ht="15.75" customHeight="1" x14ac:dyDescent="0.15">
      <c r="A23" s="52" t="s">
        <v>82</v>
      </c>
      <c r="B23" s="14" t="str">
        <f ca="1">VLOOKUP(A23,'Country Names'!$1:$1000,2,0)</f>
        <v>India</v>
      </c>
      <c r="C23" s="52">
        <v>9.99</v>
      </c>
      <c r="D23" s="170" t="s">
        <v>86</v>
      </c>
      <c r="E23" s="172" t="str">
        <f>VLOOKUP(A23,'Kursy walut'!A:E,3,0)</f>
        <v>INR</v>
      </c>
      <c r="G23" s="52" t="s">
        <v>82</v>
      </c>
      <c r="H23" s="14" t="str">
        <f ca="1">VLOOKUP(G23,'Country Names'!$1:$1000,2,0)</f>
        <v>India</v>
      </c>
      <c r="I23" s="56">
        <f>IF(D23="USD",C23*VLOOKUP(J23,'Kursy walut'!C:E,2,0),IF(D23="EUR",C23*VLOOKUP(J23,'Kursy walut'!C:E,3,0),C23))</f>
        <v>820.35282600000005</v>
      </c>
      <c r="J23" s="173" t="str">
        <f>VLOOKUP(A23,'Kursy walut'!A:E,3,0)</f>
        <v>INR</v>
      </c>
      <c r="K23" s="52">
        <f>C23/VLOOKUP(D23,'Kursy walut'!C:E,2,0)</f>
        <v>9.99</v>
      </c>
      <c r="L23" s="170" t="s">
        <v>86</v>
      </c>
      <c r="M23" s="56">
        <f>C23/VLOOKUP(D23,'Kursy walut'!C:E,3,0)</f>
        <v>10.212635452872624</v>
      </c>
      <c r="N23" s="52" t="s">
        <v>85</v>
      </c>
    </row>
    <row r="24" spans="1:14" ht="15.75" customHeight="1" x14ac:dyDescent="0.15">
      <c r="A24" s="52" t="s">
        <v>40</v>
      </c>
      <c r="B24" s="14" t="str">
        <f ca="1">VLOOKUP(A24,'Country Names'!$1:$1000,2,0)</f>
        <v>Greece</v>
      </c>
      <c r="C24" s="52">
        <v>9.99</v>
      </c>
      <c r="D24" s="170" t="s">
        <v>86</v>
      </c>
      <c r="E24" s="172" t="str">
        <f>VLOOKUP(A24,'Kursy walut'!A:E,3,0)</f>
        <v>EUR</v>
      </c>
      <c r="G24" s="52" t="s">
        <v>40</v>
      </c>
      <c r="H24" s="14" t="str">
        <f ca="1">VLOOKUP(G24,'Country Names'!$1:$1000,2,0)</f>
        <v>Greece</v>
      </c>
      <c r="I24" s="56">
        <f>IF(D24="USD",C24*VLOOKUP(J24,'Kursy walut'!C:E,2,0),IF(D24="EUR",C24*VLOOKUP(J24,'Kursy walut'!C:E,3,0),C24))</f>
        <v>10.212777000000001</v>
      </c>
      <c r="J24" s="173" t="str">
        <f>VLOOKUP(A24,'Kursy walut'!A:E,3,0)</f>
        <v>EUR</v>
      </c>
      <c r="K24" s="52">
        <f>C24/VLOOKUP(D24,'Kursy walut'!C:E,2,0)</f>
        <v>9.99</v>
      </c>
      <c r="L24" s="170" t="s">
        <v>86</v>
      </c>
      <c r="M24" s="56">
        <f>C24/VLOOKUP(D24,'Kursy walut'!C:E,3,0)</f>
        <v>10.212635452872624</v>
      </c>
      <c r="N24" s="52" t="s">
        <v>85</v>
      </c>
    </row>
    <row r="25" spans="1:14" ht="15.75" customHeight="1" x14ac:dyDescent="0.15">
      <c r="A25" s="52" t="s">
        <v>78</v>
      </c>
      <c r="B25" s="14" t="str">
        <f ca="1">VLOOKUP(A25,'Country Names'!$1:$1000,2,0)</f>
        <v>Thailand</v>
      </c>
      <c r="C25" s="52">
        <v>9.99</v>
      </c>
      <c r="D25" s="170" t="s">
        <v>86</v>
      </c>
      <c r="E25" s="172" t="str">
        <f>VLOOKUP(A25,'Kursy walut'!A:E,3,0)</f>
        <v>THB</v>
      </c>
      <c r="G25" s="52" t="s">
        <v>78</v>
      </c>
      <c r="H25" s="14" t="str">
        <f ca="1">VLOOKUP(G25,'Country Names'!$1:$1000,2,0)</f>
        <v>Thailand</v>
      </c>
      <c r="I25" s="56">
        <f>IF(D25="USD",C25*VLOOKUP(J25,'Kursy walut'!C:E,2,0),IF(D25="EUR",C25*VLOOKUP(J25,'Kursy walut'!C:E,3,0),C25))</f>
        <v>377.24537700000002</v>
      </c>
      <c r="J25" s="173" t="str">
        <f>VLOOKUP(A25,'Kursy walut'!A:E,3,0)</f>
        <v>THB</v>
      </c>
      <c r="K25" s="52">
        <f>C25/VLOOKUP(D25,'Kursy walut'!C:E,2,0)</f>
        <v>9.99</v>
      </c>
      <c r="L25" s="170" t="s">
        <v>86</v>
      </c>
      <c r="M25" s="56">
        <f>C25/VLOOKUP(D25,'Kursy walut'!C:E,3,0)</f>
        <v>10.212635452872624</v>
      </c>
      <c r="N25" s="52" t="s">
        <v>85</v>
      </c>
    </row>
    <row r="26" spans="1:14" ht="15.75" customHeight="1" x14ac:dyDescent="0.15">
      <c r="A26" s="52" t="s">
        <v>32</v>
      </c>
      <c r="B26" s="14" t="str">
        <f ca="1">VLOOKUP(A26,'Country Names'!$1:$1000,2,0)</f>
        <v>Finland</v>
      </c>
      <c r="C26" s="52">
        <v>9.99</v>
      </c>
      <c r="D26" s="170" t="s">
        <v>86</v>
      </c>
      <c r="E26" s="172" t="str">
        <f>VLOOKUP(A26,'Kursy walut'!A:E,3,0)</f>
        <v>EUR</v>
      </c>
      <c r="G26" s="52" t="s">
        <v>32</v>
      </c>
      <c r="H26" s="14" t="str">
        <f ca="1">VLOOKUP(G26,'Country Names'!$1:$1000,2,0)</f>
        <v>Finland</v>
      </c>
      <c r="I26" s="56">
        <f>IF(D26="USD",C26*VLOOKUP(J26,'Kursy walut'!C:E,2,0),IF(D26="EUR",C26*VLOOKUP(J26,'Kursy walut'!C:E,3,0),C26))</f>
        <v>10.212777000000001</v>
      </c>
      <c r="J26" s="173" t="str">
        <f>VLOOKUP(A26,'Kursy walut'!A:E,3,0)</f>
        <v>EUR</v>
      </c>
      <c r="K26" s="52">
        <f>C26/VLOOKUP(D26,'Kursy walut'!C:E,2,0)</f>
        <v>9.99</v>
      </c>
      <c r="L26" s="170" t="s">
        <v>86</v>
      </c>
      <c r="M26" s="56">
        <f>C26/VLOOKUP(D26,'Kursy walut'!C:E,3,0)</f>
        <v>10.212635452872624</v>
      </c>
      <c r="N26" s="52" t="s">
        <v>85</v>
      </c>
    </row>
    <row r="27" spans="1:14" ht="15.75" customHeight="1" x14ac:dyDescent="0.15">
      <c r="A27" s="52" t="s">
        <v>29</v>
      </c>
      <c r="B27" s="14" t="str">
        <f ca="1">VLOOKUP(A27,'Country Names'!$1:$1000,2,0)</f>
        <v>Germany</v>
      </c>
      <c r="C27" s="52">
        <v>9.99</v>
      </c>
      <c r="D27" s="170" t="s">
        <v>86</v>
      </c>
      <c r="E27" s="172" t="str">
        <f>VLOOKUP(A27,'Kursy walut'!A:E,3,0)</f>
        <v>EUR</v>
      </c>
      <c r="G27" s="52" t="s">
        <v>29</v>
      </c>
      <c r="H27" s="14" t="str">
        <f ca="1">VLOOKUP(G27,'Country Names'!$1:$1000,2,0)</f>
        <v>Germany</v>
      </c>
      <c r="I27" s="56">
        <f>IF(D27="USD",C27*VLOOKUP(J27,'Kursy walut'!C:E,2,0),IF(D27="EUR",C27*VLOOKUP(J27,'Kursy walut'!C:E,3,0),C27))</f>
        <v>10.212777000000001</v>
      </c>
      <c r="J27" s="173" t="str">
        <f>VLOOKUP(A27,'Kursy walut'!A:E,3,0)</f>
        <v>EUR</v>
      </c>
      <c r="K27" s="52">
        <f>C27/VLOOKUP(D27,'Kursy walut'!C:E,2,0)</f>
        <v>9.99</v>
      </c>
      <c r="L27" s="170" t="s">
        <v>86</v>
      </c>
      <c r="M27" s="56">
        <f>C27/VLOOKUP(D27,'Kursy walut'!C:E,3,0)</f>
        <v>10.212635452872624</v>
      </c>
      <c r="N27" s="52" t="s">
        <v>85</v>
      </c>
    </row>
    <row r="28" spans="1:14" ht="15.75" customHeight="1" x14ac:dyDescent="0.15">
      <c r="A28" s="52" t="s">
        <v>34</v>
      </c>
      <c r="B28" s="14" t="str">
        <f ca="1">VLOOKUP(A28,'Country Names'!$1:$1000,2,0)</f>
        <v>Italy</v>
      </c>
      <c r="C28" s="52">
        <v>9.99</v>
      </c>
      <c r="D28" s="170" t="s">
        <v>86</v>
      </c>
      <c r="E28" s="172" t="str">
        <f>VLOOKUP(A28,'Kursy walut'!A:E,3,0)</f>
        <v>EUR</v>
      </c>
      <c r="G28" s="52" t="s">
        <v>34</v>
      </c>
      <c r="H28" s="14" t="str">
        <f ca="1">VLOOKUP(G28,'Country Names'!$1:$1000,2,0)</f>
        <v>Italy</v>
      </c>
      <c r="I28" s="56">
        <f>IF(D28="USD",C28*VLOOKUP(J28,'Kursy walut'!C:E,2,0),IF(D28="EUR",C28*VLOOKUP(J28,'Kursy walut'!C:E,3,0),C28))</f>
        <v>10.212777000000001</v>
      </c>
      <c r="J28" s="173" t="str">
        <f>VLOOKUP(A28,'Kursy walut'!A:E,3,0)</f>
        <v>EUR</v>
      </c>
      <c r="K28" s="52">
        <f>C28/VLOOKUP(D28,'Kursy walut'!C:E,2,0)</f>
        <v>9.99</v>
      </c>
      <c r="L28" s="170" t="s">
        <v>86</v>
      </c>
      <c r="M28" s="56">
        <f>C28/VLOOKUP(D28,'Kursy walut'!C:E,3,0)</f>
        <v>10.212635452872624</v>
      </c>
      <c r="N28" s="52" t="s">
        <v>85</v>
      </c>
    </row>
    <row r="29" spans="1:14" ht="15.75" customHeight="1" x14ac:dyDescent="0.15">
      <c r="A29" s="52" t="s">
        <v>65</v>
      </c>
      <c r="B29" s="14" t="str">
        <f ca="1">VLOOKUP(A29,'Country Names'!$1:$1000,2,0)</f>
        <v>Hong Kong</v>
      </c>
      <c r="C29" s="52">
        <v>9.99</v>
      </c>
      <c r="D29" s="170" t="s">
        <v>86</v>
      </c>
      <c r="E29" s="172" t="str">
        <f>VLOOKUP(A29,'Kursy walut'!A:E,3,0)</f>
        <v>HKD</v>
      </c>
      <c r="G29" s="52" t="s">
        <v>65</v>
      </c>
      <c r="H29" s="14" t="str">
        <f ca="1">VLOOKUP(G29,'Country Names'!$1:$1000,2,0)</f>
        <v>Hong Kong</v>
      </c>
      <c r="I29" s="56">
        <f>IF(D29="USD",C29*VLOOKUP(J29,'Kursy walut'!C:E,2,0),IF(D29="EUR",C29*VLOOKUP(J29,'Kursy walut'!C:E,3,0),C29))</f>
        <v>78.420501000000002</v>
      </c>
      <c r="J29" s="173" t="str">
        <f>VLOOKUP(A29,'Kursy walut'!A:E,3,0)</f>
        <v>HKD</v>
      </c>
      <c r="K29" s="52">
        <f>C29/VLOOKUP(D29,'Kursy walut'!C:E,2,0)</f>
        <v>9.99</v>
      </c>
      <c r="L29" s="170" t="s">
        <v>86</v>
      </c>
      <c r="M29" s="56">
        <f>C29/VLOOKUP(D29,'Kursy walut'!C:E,3,0)</f>
        <v>10.212635452872624</v>
      </c>
      <c r="N29" s="52" t="s">
        <v>85</v>
      </c>
    </row>
    <row r="30" spans="1:14" ht="15.75" customHeight="1" x14ac:dyDescent="0.15">
      <c r="A30" s="52" t="s">
        <v>27</v>
      </c>
      <c r="B30" s="14" t="str">
        <f ca="1">VLOOKUP(A30,'Country Names'!$1:$1000,2,0)</f>
        <v>United Kingdom</v>
      </c>
      <c r="C30" s="52">
        <v>9.99</v>
      </c>
      <c r="D30" s="170" t="s">
        <v>86</v>
      </c>
      <c r="E30" s="172" t="str">
        <f>VLOOKUP(A30,'Kursy walut'!A:E,3,0)</f>
        <v>GBP</v>
      </c>
      <c r="G30" s="52" t="s">
        <v>27</v>
      </c>
      <c r="H30" s="14" t="str">
        <f ca="1">VLOOKUP(G30,'Country Names'!$1:$1000,2,0)</f>
        <v>United Kingdom</v>
      </c>
      <c r="I30" s="56">
        <f>IF(D30="USD",C30*VLOOKUP(J30,'Kursy walut'!C:E,2,0),IF(D30="EUR",C30*VLOOKUP(J30,'Kursy walut'!C:E,3,0),C30))</f>
        <v>8.9420490000000008</v>
      </c>
      <c r="J30" s="173" t="str">
        <f>VLOOKUP(A30,'Kursy walut'!A:E,3,0)</f>
        <v>GBP</v>
      </c>
      <c r="K30" s="52">
        <f>C30/VLOOKUP(D30,'Kursy walut'!C:E,2,0)</f>
        <v>9.99</v>
      </c>
      <c r="L30" s="170" t="s">
        <v>86</v>
      </c>
      <c r="M30" s="56">
        <f>C30/VLOOKUP(D30,'Kursy walut'!C:E,3,0)</f>
        <v>10.212635452872624</v>
      </c>
      <c r="N30" s="52" t="s">
        <v>85</v>
      </c>
    </row>
    <row r="31" spans="1:14" ht="15.75" customHeight="1" x14ac:dyDescent="0.15">
      <c r="A31" s="52" t="s">
        <v>63</v>
      </c>
      <c r="B31" s="14" t="str">
        <f ca="1">VLOOKUP(A31,'Country Names'!$1:$1000,2,0)</f>
        <v>Peru</v>
      </c>
      <c r="C31" s="52">
        <v>9.99</v>
      </c>
      <c r="D31" s="170" t="s">
        <v>86</v>
      </c>
      <c r="E31" s="172" t="str">
        <f>VLOOKUP(A31,'Kursy walut'!A:E,3,0)</f>
        <v>PEN</v>
      </c>
      <c r="G31" s="52" t="s">
        <v>63</v>
      </c>
      <c r="H31" s="14" t="str">
        <f ca="1">VLOOKUP(G31,'Country Names'!$1:$1000,2,0)</f>
        <v>Peru</v>
      </c>
      <c r="I31" s="56">
        <f>IF(D31="USD",C31*VLOOKUP(J31,'Kursy walut'!C:E,2,0),IF(D31="EUR",C31*VLOOKUP(J31,'Kursy walut'!C:E,3,0),C31))</f>
        <v>39.703257000000001</v>
      </c>
      <c r="J31" s="173" t="str">
        <f>VLOOKUP(A31,'Kursy walut'!A:E,3,0)</f>
        <v>PEN</v>
      </c>
      <c r="K31" s="52">
        <f>C31/VLOOKUP(D31,'Kursy walut'!C:E,2,0)</f>
        <v>9.99</v>
      </c>
      <c r="L31" s="170" t="s">
        <v>86</v>
      </c>
      <c r="M31" s="56">
        <f>C31/VLOOKUP(D31,'Kursy walut'!C:E,3,0)</f>
        <v>10.212635452872624</v>
      </c>
      <c r="N31" s="52" t="s">
        <v>85</v>
      </c>
    </row>
    <row r="32" spans="1:14" ht="15.75" customHeight="1" x14ac:dyDescent="0.15">
      <c r="A32" s="52" t="s">
        <v>45</v>
      </c>
      <c r="B32" s="14" t="str">
        <f ca="1">VLOOKUP(A32,'Country Names'!$1:$1000,2,0)</f>
        <v>Portugal</v>
      </c>
      <c r="C32" s="52">
        <v>9.99</v>
      </c>
      <c r="D32" s="170" t="s">
        <v>86</v>
      </c>
      <c r="E32" s="172" t="str">
        <f>VLOOKUP(A32,'Kursy walut'!A:E,3,0)</f>
        <v>EUR</v>
      </c>
      <c r="G32" s="52" t="s">
        <v>45</v>
      </c>
      <c r="H32" s="14" t="str">
        <f ca="1">VLOOKUP(G32,'Country Names'!$1:$1000,2,0)</f>
        <v>Portugal</v>
      </c>
      <c r="I32" s="56">
        <f>IF(D32="USD",C32*VLOOKUP(J32,'Kursy walut'!C:E,2,0),IF(D32="EUR",C32*VLOOKUP(J32,'Kursy walut'!C:E,3,0),C32))</f>
        <v>10.212777000000001</v>
      </c>
      <c r="J32" s="173" t="str">
        <f>VLOOKUP(A32,'Kursy walut'!A:E,3,0)</f>
        <v>EUR</v>
      </c>
      <c r="K32" s="52">
        <f>C32/VLOOKUP(D32,'Kursy walut'!C:E,2,0)</f>
        <v>9.99</v>
      </c>
      <c r="L32" s="170" t="s">
        <v>86</v>
      </c>
      <c r="M32" s="56">
        <f>C32/VLOOKUP(D32,'Kursy walut'!C:E,3,0)</f>
        <v>10.212635452872624</v>
      </c>
      <c r="N32" s="52" t="s">
        <v>85</v>
      </c>
    </row>
    <row r="33" spans="1:14" ht="15.75" customHeight="1" x14ac:dyDescent="0.15">
      <c r="A33" s="52" t="s">
        <v>69</v>
      </c>
      <c r="B33" s="14" t="str">
        <f ca="1">VLOOKUP(A33,'Country Names'!$1:$1000,2,0)</f>
        <v>UAE</v>
      </c>
      <c r="C33" s="52">
        <v>9.99</v>
      </c>
      <c r="D33" s="170" t="s">
        <v>86</v>
      </c>
      <c r="E33" s="172" t="str">
        <f>VLOOKUP(A33,'Kursy walut'!A:E,3,0)</f>
        <v>AED</v>
      </c>
      <c r="G33" s="52" t="s">
        <v>69</v>
      </c>
      <c r="H33" s="14" t="str">
        <f ca="1">VLOOKUP(G33,'Country Names'!$1:$1000,2,0)</f>
        <v>UAE</v>
      </c>
      <c r="I33" s="56">
        <f>IF(D33="USD",C33*VLOOKUP(J33,'Kursy walut'!C:E,2,0),IF(D33="EUR",C33*VLOOKUP(J33,'Kursy walut'!C:E,3,0),C33))</f>
        <v>36.694268999999998</v>
      </c>
      <c r="J33" s="173" t="str">
        <f>VLOOKUP(A33,'Kursy walut'!A:E,3,0)</f>
        <v>AED</v>
      </c>
      <c r="K33" s="52">
        <f>C33/VLOOKUP(D33,'Kursy walut'!C:E,2,0)</f>
        <v>9.99</v>
      </c>
      <c r="L33" s="170" t="s">
        <v>86</v>
      </c>
      <c r="M33" s="56">
        <f>C33/VLOOKUP(D33,'Kursy walut'!C:E,3,0)</f>
        <v>10.212635452872624</v>
      </c>
      <c r="N33" s="52" t="s">
        <v>85</v>
      </c>
    </row>
    <row r="34" spans="1:14" ht="15.75" customHeight="1" x14ac:dyDescent="0.15">
      <c r="A34" s="52" t="s">
        <v>72</v>
      </c>
      <c r="B34" s="14" t="str">
        <f ca="1">VLOOKUP(A34,'Country Names'!$1:$1000,2,0)</f>
        <v>Hungary</v>
      </c>
      <c r="C34" s="52">
        <v>9.99</v>
      </c>
      <c r="D34" s="170" t="s">
        <v>86</v>
      </c>
      <c r="E34" s="172" t="str">
        <f>VLOOKUP(A34,'Kursy walut'!A:E,3,0)</f>
        <v>HUF</v>
      </c>
      <c r="G34" s="52" t="s">
        <v>72</v>
      </c>
      <c r="H34" s="14" t="str">
        <f ca="1">VLOOKUP(G34,'Country Names'!$1:$1000,2,0)</f>
        <v>Hungary</v>
      </c>
      <c r="I34" s="56">
        <f>IF(D34="USD",C34*VLOOKUP(J34,'Kursy walut'!C:E,2,0),IF(D34="EUR",C34*VLOOKUP(J34,'Kursy walut'!C:E,3,0),C34))</f>
        <v>4329.8907749999998</v>
      </c>
      <c r="J34" s="173" t="str">
        <f>VLOOKUP(A34,'Kursy walut'!A:E,3,0)</f>
        <v>HUF</v>
      </c>
      <c r="K34" s="52">
        <f>C34/VLOOKUP(D34,'Kursy walut'!C:E,2,0)</f>
        <v>9.99</v>
      </c>
      <c r="L34" s="170" t="s">
        <v>86</v>
      </c>
      <c r="M34" s="56">
        <f>C34/VLOOKUP(D34,'Kursy walut'!C:E,3,0)</f>
        <v>10.212635452872624</v>
      </c>
      <c r="N34" s="52" t="s">
        <v>85</v>
      </c>
    </row>
    <row r="35" spans="1:14" ht="15.75" customHeight="1" x14ac:dyDescent="0.15">
      <c r="A35" s="52" t="s">
        <v>49</v>
      </c>
      <c r="B35" s="14" t="str">
        <f ca="1">VLOOKUP(A35,'Country Names'!$1:$1000,2,0)</f>
        <v>Kazakhstan</v>
      </c>
      <c r="C35" s="52">
        <v>9.99</v>
      </c>
      <c r="D35" s="170" t="s">
        <v>86</v>
      </c>
      <c r="E35" s="172" t="str">
        <f>VLOOKUP(A35,'Kursy walut'!A:E,3,0)</f>
        <v>KZT</v>
      </c>
      <c r="G35" s="52" t="s">
        <v>49</v>
      </c>
      <c r="H35" s="14" t="str">
        <f ca="1">VLOOKUP(G35,'Country Names'!$1:$1000,2,0)</f>
        <v>Kazakhstan</v>
      </c>
      <c r="I35" s="56">
        <f>IF(D35="USD",C35*VLOOKUP(J35,'Kursy walut'!C:E,2,0),IF(D35="EUR",C35*VLOOKUP(J35,'Kursy walut'!C:E,3,0),C35))</f>
        <v>4745.2819680000002</v>
      </c>
      <c r="J35" s="173" t="str">
        <f>VLOOKUP(A35,'Kursy walut'!A:E,3,0)</f>
        <v>KZT</v>
      </c>
      <c r="K35" s="52">
        <f>C35/VLOOKUP(D35,'Kursy walut'!C:E,2,0)</f>
        <v>9.99</v>
      </c>
      <c r="L35" s="170" t="s">
        <v>86</v>
      </c>
      <c r="M35" s="56">
        <f>C35/VLOOKUP(D35,'Kursy walut'!C:E,3,0)</f>
        <v>10.212635452872624</v>
      </c>
      <c r="N35" s="52" t="s">
        <v>85</v>
      </c>
    </row>
    <row r="36" spans="1:14" ht="15.75" customHeight="1" x14ac:dyDescent="0.15">
      <c r="A36" s="52" t="s">
        <v>64</v>
      </c>
      <c r="B36" s="14" t="str">
        <f ca="1">VLOOKUP(A36,'Country Names'!$1:$1000,2,0)</f>
        <v>Romania</v>
      </c>
      <c r="C36" s="52">
        <v>9.99</v>
      </c>
      <c r="D36" s="170" t="s">
        <v>86</v>
      </c>
      <c r="E36" s="172" t="str">
        <f>VLOOKUP(A36,'Kursy walut'!A:E,3,0)</f>
        <v>RON</v>
      </c>
      <c r="G36" s="52" t="s">
        <v>64</v>
      </c>
      <c r="H36" s="14" t="str">
        <f ca="1">VLOOKUP(G36,'Country Names'!$1:$1000,2,0)</f>
        <v>Romania</v>
      </c>
      <c r="I36" s="56">
        <f>IF(D36="USD",C36*VLOOKUP(J36,'Kursy walut'!C:E,2,0),IF(D36="EUR",C36*VLOOKUP(J36,'Kursy walut'!C:E,3,0),C36))</f>
        <v>50.450498999999994</v>
      </c>
      <c r="J36" s="173" t="str">
        <f>VLOOKUP(A36,'Kursy walut'!A:E,3,0)</f>
        <v>RON</v>
      </c>
      <c r="K36" s="52">
        <f>C36/VLOOKUP(D36,'Kursy walut'!C:E,2,0)</f>
        <v>9.99</v>
      </c>
      <c r="L36" s="170" t="s">
        <v>86</v>
      </c>
      <c r="M36" s="56">
        <f>C36/VLOOKUP(D36,'Kursy walut'!C:E,3,0)</f>
        <v>10.212635452872624</v>
      </c>
      <c r="N36" s="52" t="s">
        <v>85</v>
      </c>
    </row>
    <row r="37" spans="1:14" ht="15.75" customHeight="1" x14ac:dyDescent="0.15">
      <c r="A37" s="52" t="s">
        <v>59</v>
      </c>
      <c r="B37" s="14" t="str">
        <f ca="1">VLOOKUP(A37,'Country Names'!$1:$1000,2,0)</f>
        <v>Saudi Arabia</v>
      </c>
      <c r="C37" s="52">
        <v>9.99</v>
      </c>
      <c r="D37" s="170" t="s">
        <v>86</v>
      </c>
      <c r="E37" s="172" t="str">
        <f>VLOOKUP(A37,'Kursy walut'!A:E,3,0)</f>
        <v>SAR</v>
      </c>
      <c r="G37" s="52" t="s">
        <v>59</v>
      </c>
      <c r="H37" s="14" t="str">
        <f ca="1">VLOOKUP(G37,'Country Names'!$1:$1000,2,0)</f>
        <v>Saudi Arabia</v>
      </c>
      <c r="I37" s="56">
        <f>IF(D37="USD",C37*VLOOKUP(J37,'Kursy walut'!C:E,2,0),IF(D37="EUR",C37*VLOOKUP(J37,'Kursy walut'!C:E,3,0),C37))</f>
        <v>37.546416000000001</v>
      </c>
      <c r="J37" s="173" t="str">
        <f>VLOOKUP(A37,'Kursy walut'!A:E,3,0)</f>
        <v>SAR</v>
      </c>
      <c r="K37" s="52">
        <f>C37/VLOOKUP(D37,'Kursy walut'!C:E,2,0)</f>
        <v>9.99</v>
      </c>
      <c r="L37" s="170" t="s">
        <v>86</v>
      </c>
      <c r="M37" s="56">
        <f>C37/VLOOKUP(D37,'Kursy walut'!C:E,3,0)</f>
        <v>10.212635452872624</v>
      </c>
      <c r="N37" s="52" t="s">
        <v>85</v>
      </c>
    </row>
    <row r="38" spans="1:14" ht="15.75" customHeight="1" x14ac:dyDescent="0.15">
      <c r="A38" s="52" t="s">
        <v>28</v>
      </c>
      <c r="B38" s="14" t="str">
        <f ca="1">VLOOKUP(A38,'Country Names'!$1:$1000,2,0)</f>
        <v>Austria</v>
      </c>
      <c r="C38" s="52">
        <v>9.99</v>
      </c>
      <c r="D38" s="170" t="s">
        <v>86</v>
      </c>
      <c r="E38" s="172" t="str">
        <f>VLOOKUP(A38,'Kursy walut'!A:E,3,0)</f>
        <v>EUR</v>
      </c>
      <c r="G38" s="52" t="s">
        <v>28</v>
      </c>
      <c r="H38" s="14" t="str">
        <f ca="1">VLOOKUP(G38,'Country Names'!$1:$1000,2,0)</f>
        <v>Austria</v>
      </c>
      <c r="I38" s="56">
        <f>IF(D38="USD",C38*VLOOKUP(J38,'Kursy walut'!C:E,2,0),IF(D38="EUR",C38*VLOOKUP(J38,'Kursy walut'!C:E,3,0),C38))</f>
        <v>10.212777000000001</v>
      </c>
      <c r="J38" s="173" t="str">
        <f>VLOOKUP(A38,'Kursy walut'!A:E,3,0)</f>
        <v>EUR</v>
      </c>
      <c r="K38" s="52">
        <f>C38/VLOOKUP(D38,'Kursy walut'!C:E,2,0)</f>
        <v>9.99</v>
      </c>
      <c r="L38" s="170" t="s">
        <v>86</v>
      </c>
      <c r="M38" s="56">
        <f>C38/VLOOKUP(D38,'Kursy walut'!C:E,3,0)</f>
        <v>10.212635452872624</v>
      </c>
      <c r="N38" s="52" t="s">
        <v>85</v>
      </c>
    </row>
    <row r="39" spans="1:14" ht="15.75" customHeight="1" x14ac:dyDescent="0.15">
      <c r="A39" s="52" t="s">
        <v>25</v>
      </c>
      <c r="B39" s="14" t="str">
        <f ca="1">VLOOKUP(A39,'Country Names'!$1:$1000,2,0)</f>
        <v>Switzerland</v>
      </c>
      <c r="C39" s="52">
        <v>9.99</v>
      </c>
      <c r="D39" s="170" t="s">
        <v>86</v>
      </c>
      <c r="E39" s="172" t="str">
        <f>VLOOKUP(A39,'Kursy walut'!A:E,3,0)</f>
        <v>CHF</v>
      </c>
      <c r="G39" s="52" t="s">
        <v>25</v>
      </c>
      <c r="H39" s="14" t="str">
        <f ca="1">VLOOKUP(G39,'Country Names'!$1:$1000,2,0)</f>
        <v>Switzerland</v>
      </c>
      <c r="I39" s="56">
        <f>IF(D39="USD",C39*VLOOKUP(J39,'Kursy walut'!C:E,2,0),IF(D39="EUR",C39*VLOOKUP(J39,'Kursy walut'!C:E,3,0),C39))</f>
        <v>9.9180720000000004</v>
      </c>
      <c r="J39" s="173" t="str">
        <f>VLOOKUP(A39,'Kursy walut'!A:E,3,0)</f>
        <v>CHF</v>
      </c>
      <c r="K39" s="52">
        <f>C39/VLOOKUP(D39,'Kursy walut'!C:E,2,0)</f>
        <v>9.99</v>
      </c>
      <c r="L39" s="170" t="s">
        <v>86</v>
      </c>
      <c r="M39" s="56">
        <f>C39/VLOOKUP(D39,'Kursy walut'!C:E,3,0)</f>
        <v>10.212635452872624</v>
      </c>
      <c r="N39" s="52" t="s">
        <v>85</v>
      </c>
    </row>
    <row r="40" spans="1:14" ht="15.75" customHeight="1" x14ac:dyDescent="0.15">
      <c r="A40" s="52" t="s">
        <v>36</v>
      </c>
      <c r="B40" s="14" t="str">
        <f ca="1">VLOOKUP(A40,'Country Names'!$1:$1000,2,0)</f>
        <v>Sweden</v>
      </c>
      <c r="C40" s="52">
        <v>9.99</v>
      </c>
      <c r="D40" s="170" t="s">
        <v>86</v>
      </c>
      <c r="E40" s="172" t="str">
        <f>VLOOKUP(A40,'Kursy walut'!A:E,3,0)</f>
        <v>SEK</v>
      </c>
      <c r="G40" s="52" t="s">
        <v>36</v>
      </c>
      <c r="H40" s="14" t="str">
        <f ca="1">VLOOKUP(G40,'Country Names'!$1:$1000,2,0)</f>
        <v>Sweden</v>
      </c>
      <c r="I40" s="56">
        <f>IF(D40="USD",C40*VLOOKUP(J40,'Kursy walut'!C:E,2,0),IF(D40="EUR",C40*VLOOKUP(J40,'Kursy walut'!C:E,3,0),C40))</f>
        <v>111.53135700000001</v>
      </c>
      <c r="J40" s="173" t="str">
        <f>VLOOKUP(A40,'Kursy walut'!A:E,3,0)</f>
        <v>SEK</v>
      </c>
      <c r="K40" s="52">
        <f>C40/VLOOKUP(D40,'Kursy walut'!C:E,2,0)</f>
        <v>9.99</v>
      </c>
      <c r="L40" s="170" t="s">
        <v>86</v>
      </c>
      <c r="M40" s="56">
        <f>C40/VLOOKUP(D40,'Kursy walut'!C:E,3,0)</f>
        <v>10.212635452872624</v>
      </c>
      <c r="N40" s="52" t="s">
        <v>85</v>
      </c>
    </row>
    <row r="41" spans="1:14" ht="14" x14ac:dyDescent="0.15">
      <c r="A41" s="52" t="s">
        <v>30</v>
      </c>
      <c r="B41" s="14" t="str">
        <f ca="1">VLOOKUP(A41,'Country Names'!$1:$1000,2,0)</f>
        <v>Ireland</v>
      </c>
      <c r="C41" s="52">
        <v>9.99</v>
      </c>
      <c r="D41" s="170" t="s">
        <v>86</v>
      </c>
      <c r="E41" s="172" t="str">
        <f>VLOOKUP(A41,'Kursy walut'!A:E,3,0)</f>
        <v>EUR</v>
      </c>
      <c r="G41" s="52" t="s">
        <v>30</v>
      </c>
      <c r="H41" s="14" t="str">
        <f ca="1">VLOOKUP(G41,'Country Names'!$1:$1000,2,0)</f>
        <v>Ireland</v>
      </c>
      <c r="I41" s="56">
        <f>IF(D41="USD",C41*VLOOKUP(J41,'Kursy walut'!C:E,2,0),IF(D41="EUR",C41*VLOOKUP(J41,'Kursy walut'!C:E,3,0),C41))</f>
        <v>10.212777000000001</v>
      </c>
      <c r="J41" s="173" t="str">
        <f>VLOOKUP(A41,'Kursy walut'!A:E,3,0)</f>
        <v>EUR</v>
      </c>
      <c r="K41" s="52">
        <f>C41/VLOOKUP(D41,'Kursy walut'!C:E,2,0)</f>
        <v>9.99</v>
      </c>
      <c r="L41" s="170" t="s">
        <v>86</v>
      </c>
      <c r="M41" s="56">
        <f>C41/VLOOKUP(D41,'Kursy walut'!C:E,3,0)</f>
        <v>10.212635452872624</v>
      </c>
      <c r="N41" s="52" t="s">
        <v>85</v>
      </c>
    </row>
    <row r="42" spans="1:14" ht="14" x14ac:dyDescent="0.15">
      <c r="A42" s="52" t="s">
        <v>48</v>
      </c>
      <c r="B42" s="14" t="str">
        <f ca="1">VLOOKUP(A42,'Country Names'!$1:$1000,2,0)</f>
        <v>New Zealand</v>
      </c>
      <c r="C42" s="52">
        <v>9.99</v>
      </c>
      <c r="D42" s="170" t="s">
        <v>86</v>
      </c>
      <c r="E42" s="172" t="str">
        <f>VLOOKUP(A42,'Kursy walut'!A:E,3,0)</f>
        <v>NZD</v>
      </c>
      <c r="G42" s="52" t="s">
        <v>48</v>
      </c>
      <c r="H42" s="14" t="str">
        <f ca="1">VLOOKUP(G42,'Country Names'!$1:$1000,2,0)</f>
        <v>New Zealand</v>
      </c>
      <c r="I42" s="56">
        <f>IF(D42="USD",C42*VLOOKUP(J42,'Kursy walut'!C:E,2,0),IF(D42="EUR",C42*VLOOKUP(J42,'Kursy walut'!C:E,3,0),C42))</f>
        <v>17.743238999999999</v>
      </c>
      <c r="J42" s="173" t="str">
        <f>VLOOKUP(A42,'Kursy walut'!A:E,3,0)</f>
        <v>NZD</v>
      </c>
      <c r="K42" s="52">
        <f>C42/VLOOKUP(D42,'Kursy walut'!C:E,2,0)</f>
        <v>9.99</v>
      </c>
      <c r="L42" s="170" t="s">
        <v>86</v>
      </c>
      <c r="M42" s="56">
        <f>C42/VLOOKUP(D42,'Kursy walut'!C:E,3,0)</f>
        <v>10.212635452872624</v>
      </c>
      <c r="N42" s="52" t="s">
        <v>85</v>
      </c>
    </row>
    <row r="43" spans="1:14" ht="14" x14ac:dyDescent="0.15">
      <c r="A43" s="52" t="s">
        <v>26</v>
      </c>
      <c r="B43" s="14" t="str">
        <f ca="1">VLOOKUP(A43,'Country Names'!$1:$1000,2,0)</f>
        <v>United States</v>
      </c>
      <c r="C43" s="52">
        <v>9.99</v>
      </c>
      <c r="D43" s="170" t="s">
        <v>86</v>
      </c>
      <c r="E43" s="172" t="str">
        <f>VLOOKUP(A43,'Kursy walut'!A:E,3,0)</f>
        <v>USD</v>
      </c>
      <c r="G43" s="52" t="s">
        <v>26</v>
      </c>
      <c r="H43" s="14" t="str">
        <f ca="1">VLOOKUP(G43,'Country Names'!$1:$1000,2,0)</f>
        <v>United States</v>
      </c>
      <c r="I43" s="56">
        <f>IF(D43="USD",C43*VLOOKUP(J43,'Kursy walut'!C:E,2,0),IF(D43="EUR",C43*VLOOKUP(J43,'Kursy walut'!C:E,3,0),C43))</f>
        <v>9.99</v>
      </c>
      <c r="J43" s="173" t="str">
        <f>VLOOKUP(A43,'Kursy walut'!A:E,3,0)</f>
        <v>USD</v>
      </c>
      <c r="K43" s="52">
        <f>C43/VLOOKUP(D43,'Kursy walut'!C:E,2,0)</f>
        <v>9.99</v>
      </c>
      <c r="L43" s="170" t="s">
        <v>86</v>
      </c>
      <c r="M43" s="56">
        <f>C43/VLOOKUP(D43,'Kursy walut'!C:E,3,0)</f>
        <v>10.212635452872624</v>
      </c>
      <c r="N43" s="52" t="s">
        <v>85</v>
      </c>
    </row>
    <row r="44" spans="1:14" ht="14" x14ac:dyDescent="0.15">
      <c r="A44" s="52" t="s">
        <v>37</v>
      </c>
      <c r="B44" s="14" t="str">
        <f ca="1">VLOOKUP(A44,'Country Names'!$1:$1000,2,0)</f>
        <v>Canada</v>
      </c>
      <c r="C44" s="52">
        <v>9.99</v>
      </c>
      <c r="D44" s="170" t="s">
        <v>86</v>
      </c>
      <c r="E44" s="172" t="str">
        <f>VLOOKUP(A44,'Kursy walut'!A:E,3,0)</f>
        <v>CAD</v>
      </c>
      <c r="G44" s="52" t="s">
        <v>37</v>
      </c>
      <c r="H44" s="14" t="str">
        <f ca="1">VLOOKUP(G44,'Country Names'!$1:$1000,2,0)</f>
        <v>Canada</v>
      </c>
      <c r="I44" s="56">
        <f>IF(D44="USD",C44*VLOOKUP(J44,'Kursy walut'!C:E,2,0),IF(D44="EUR",C44*VLOOKUP(J44,'Kursy walut'!C:E,3,0),C44))</f>
        <v>13.731255000000001</v>
      </c>
      <c r="J44" s="173" t="str">
        <f>VLOOKUP(A44,'Kursy walut'!A:E,3,0)</f>
        <v>CAD</v>
      </c>
      <c r="K44" s="52">
        <f>C44/VLOOKUP(D44,'Kursy walut'!C:E,2,0)</f>
        <v>9.99</v>
      </c>
      <c r="L44" s="170" t="s">
        <v>86</v>
      </c>
      <c r="M44" s="56">
        <f>C44/VLOOKUP(D44,'Kursy walut'!C:E,3,0)</f>
        <v>10.212635452872624</v>
      </c>
      <c r="N44" s="52" t="s">
        <v>85</v>
      </c>
    </row>
    <row r="45" spans="1:14" ht="14" x14ac:dyDescent="0.15">
      <c r="A45" s="52" t="s">
        <v>71</v>
      </c>
      <c r="B45" s="14" t="str">
        <f ca="1">VLOOKUP(A45,'Country Names'!$1:$1000,2,0)</f>
        <v>Egypt</v>
      </c>
      <c r="C45" s="52">
        <v>9.99</v>
      </c>
      <c r="D45" s="170" t="s">
        <v>86</v>
      </c>
      <c r="E45" s="172" t="str">
        <f>VLOOKUP(A45,'Kursy walut'!A:E,3,0)</f>
        <v>EGP</v>
      </c>
      <c r="G45" s="52" t="s">
        <v>71</v>
      </c>
      <c r="H45" s="14" t="str">
        <f ca="1">VLOOKUP(G45,'Country Names'!$1:$1000,2,0)</f>
        <v>Egypt</v>
      </c>
      <c r="I45" s="56">
        <f>IF(D45="USD",C45*VLOOKUP(J45,'Kursy walut'!C:E,2,0),IF(D45="EUR",C45*VLOOKUP(J45,'Kursy walut'!C:E,3,0),C45))</f>
        <v>196.29251100000002</v>
      </c>
      <c r="J45" s="173" t="str">
        <f>VLOOKUP(A45,'Kursy walut'!A:E,3,0)</f>
        <v>EGP</v>
      </c>
      <c r="K45" s="52">
        <f>C45/VLOOKUP(D45,'Kursy walut'!C:E,2,0)</f>
        <v>9.99</v>
      </c>
      <c r="L45" s="170" t="s">
        <v>86</v>
      </c>
      <c r="M45" s="56">
        <f>C45/VLOOKUP(D45,'Kursy walut'!C:E,3,0)</f>
        <v>10.212635452872624</v>
      </c>
      <c r="N45" s="52" t="s">
        <v>85</v>
      </c>
    </row>
    <row r="46" spans="1:14" ht="14" x14ac:dyDescent="0.15">
      <c r="A46" s="52" t="s">
        <v>38</v>
      </c>
      <c r="B46" s="14" t="str">
        <f ca="1">VLOOKUP(A46,'Country Names'!$1:$1000,2,0)</f>
        <v>Israel</v>
      </c>
      <c r="C46" s="52">
        <v>9.99</v>
      </c>
      <c r="D46" s="170" t="s">
        <v>86</v>
      </c>
      <c r="E46" s="172" t="str">
        <f>VLOOKUP(A46,'Kursy walut'!A:E,3,0)</f>
        <v>ILS</v>
      </c>
      <c r="G46" s="52" t="s">
        <v>38</v>
      </c>
      <c r="H46" s="14" t="str">
        <f ca="1">VLOOKUP(G46,'Country Names'!$1:$1000,2,0)</f>
        <v>Israel</v>
      </c>
      <c r="I46" s="56">
        <f>IF(D46="USD",C46*VLOOKUP(J46,'Kursy walut'!C:E,2,0),IF(D46="EUR",C46*VLOOKUP(J46,'Kursy walut'!C:E,3,0),C46))</f>
        <v>35.483480999999998</v>
      </c>
      <c r="J46" s="173" t="str">
        <f>VLOOKUP(A46,'Kursy walut'!A:E,3,0)</f>
        <v>ILS</v>
      </c>
      <c r="K46" s="52">
        <f>C46/VLOOKUP(D46,'Kursy walut'!C:E,2,0)</f>
        <v>9.99</v>
      </c>
      <c r="L46" s="170" t="s">
        <v>86</v>
      </c>
      <c r="M46" s="56">
        <f>C46/VLOOKUP(D46,'Kursy walut'!C:E,3,0)</f>
        <v>10.212635452872624</v>
      </c>
      <c r="N46" s="52" t="s">
        <v>85</v>
      </c>
    </row>
    <row r="47" spans="1:14" ht="14" x14ac:dyDescent="0.15">
      <c r="A47" s="52" t="s">
        <v>67</v>
      </c>
      <c r="B47" s="14" t="str">
        <f ca="1">VLOOKUP(A47,'Country Names'!$1:$1000,2,0)</f>
        <v>Japan</v>
      </c>
      <c r="C47" s="52">
        <v>9.99</v>
      </c>
      <c r="D47" s="170" t="s">
        <v>86</v>
      </c>
      <c r="E47" s="172" t="str">
        <f>VLOOKUP(A47,'Kursy walut'!A:E,3,0)</f>
        <v>JPY</v>
      </c>
      <c r="G47" s="52" t="s">
        <v>67</v>
      </c>
      <c r="H47" s="14" t="str">
        <f ca="1">VLOOKUP(G47,'Country Names'!$1:$1000,2,0)</f>
        <v>Japan</v>
      </c>
      <c r="I47" s="56">
        <f>IF(D47="USD",C47*VLOOKUP(J47,'Kursy walut'!C:E,2,0),IF(D47="EUR",C47*VLOOKUP(J47,'Kursy walut'!C:E,3,0),C47))</f>
        <v>1453.7008440000002</v>
      </c>
      <c r="J47" s="173" t="str">
        <f>VLOOKUP(A47,'Kursy walut'!A:E,3,0)</f>
        <v>JPY</v>
      </c>
      <c r="K47" s="52">
        <f>C47/VLOOKUP(D47,'Kursy walut'!C:E,2,0)</f>
        <v>9.99</v>
      </c>
      <c r="L47" s="170" t="s">
        <v>86</v>
      </c>
      <c r="M47" s="56">
        <f>C47/VLOOKUP(D47,'Kursy walut'!C:E,3,0)</f>
        <v>10.212635452872624</v>
      </c>
      <c r="N47" s="52" t="s">
        <v>85</v>
      </c>
    </row>
    <row r="48" spans="1:14" ht="14" x14ac:dyDescent="0.15">
      <c r="A48" s="52" t="s">
        <v>60</v>
      </c>
      <c r="B48" s="14" t="str">
        <f ca="1">VLOOKUP(A48,'Country Names'!$1:$1000,2,0)</f>
        <v>South Korea</v>
      </c>
      <c r="C48" s="52">
        <v>9.99</v>
      </c>
      <c r="D48" s="170" t="s">
        <v>86</v>
      </c>
      <c r="E48" s="172" t="str">
        <f>VLOOKUP(A48,'Kursy walut'!A:E,3,0)</f>
        <v>KRW</v>
      </c>
      <c r="G48" s="52" t="s">
        <v>60</v>
      </c>
      <c r="H48" s="14" t="str">
        <f ca="1">VLOOKUP(G48,'Country Names'!$1:$1000,2,0)</f>
        <v>South Korea</v>
      </c>
      <c r="I48" s="56">
        <f>IF(D48="USD",C48*VLOOKUP(J48,'Kursy walut'!C:E,2,0),IF(D48="EUR",C48*VLOOKUP(J48,'Kursy walut'!C:E,3,0),C48))</f>
        <v>14267.031687000001</v>
      </c>
      <c r="J48" s="173" t="str">
        <f>VLOOKUP(A48,'Kursy walut'!A:E,3,0)</f>
        <v>KRW</v>
      </c>
      <c r="K48" s="52">
        <f>C48/VLOOKUP(D48,'Kursy walut'!C:E,2,0)</f>
        <v>9.99</v>
      </c>
      <c r="L48" s="170" t="s">
        <v>86</v>
      </c>
      <c r="M48" s="56">
        <f>C48/VLOOKUP(D48,'Kursy walut'!C:E,3,0)</f>
        <v>10.212635452872624</v>
      </c>
      <c r="N48" s="52" t="s">
        <v>85</v>
      </c>
    </row>
    <row r="49" spans="1:14" ht="14" x14ac:dyDescent="0.15">
      <c r="A49" s="52" t="s">
        <v>35</v>
      </c>
      <c r="B49" s="14" t="str">
        <f ca="1">VLOOKUP(A49,'Country Names'!$1:$1000,2,0)</f>
        <v>Norway</v>
      </c>
      <c r="C49" s="52">
        <v>9.99</v>
      </c>
      <c r="D49" s="170" t="s">
        <v>86</v>
      </c>
      <c r="E49" s="172" t="str">
        <f>VLOOKUP(A49,'Kursy walut'!A:E,3,0)</f>
        <v>NOK</v>
      </c>
      <c r="G49" s="52" t="s">
        <v>35</v>
      </c>
      <c r="H49" s="14" t="str">
        <f ca="1">VLOOKUP(G49,'Country Names'!$1:$1000,2,0)</f>
        <v>Norway</v>
      </c>
      <c r="I49" s="56">
        <f>IF(D49="USD",C49*VLOOKUP(J49,'Kursy walut'!C:E,2,0),IF(D49="EUR",C49*VLOOKUP(J49,'Kursy walut'!C:E,3,0),C49))</f>
        <v>106.90299</v>
      </c>
      <c r="J49" s="173" t="str">
        <f>VLOOKUP(A49,'Kursy walut'!A:E,3,0)</f>
        <v>NOK</v>
      </c>
      <c r="K49" s="52">
        <f>C49/VLOOKUP(D49,'Kursy walut'!C:E,2,0)</f>
        <v>9.99</v>
      </c>
      <c r="L49" s="170" t="s">
        <v>86</v>
      </c>
      <c r="M49" s="56">
        <f>C49/VLOOKUP(D49,'Kursy walut'!C:E,3,0)</f>
        <v>10.212635452872624</v>
      </c>
      <c r="N49" s="52" t="s">
        <v>85</v>
      </c>
    </row>
    <row r="50" spans="1:14" ht="14" x14ac:dyDescent="0.15">
      <c r="A50" s="52" t="s">
        <v>31</v>
      </c>
      <c r="B50" s="14" t="str">
        <f ca="1">VLOOKUP(A50,'Country Names'!$1:$1000,2,0)</f>
        <v>France</v>
      </c>
      <c r="C50" s="52">
        <v>9.99</v>
      </c>
      <c r="D50" s="170" t="s">
        <v>86</v>
      </c>
      <c r="E50" s="172" t="str">
        <f>VLOOKUP(A50,'Kursy walut'!A:E,3,0)</f>
        <v>EUR</v>
      </c>
      <c r="G50" s="52" t="s">
        <v>31</v>
      </c>
      <c r="H50" s="14" t="str">
        <f ca="1">VLOOKUP(G50,'Country Names'!$1:$1000,2,0)</f>
        <v>France</v>
      </c>
      <c r="I50" s="56">
        <f>IF(D50="USD",C50*VLOOKUP(J50,'Kursy walut'!C:E,2,0),IF(D50="EUR",C50*VLOOKUP(J50,'Kursy walut'!C:E,3,0),C50))</f>
        <v>10.212777000000001</v>
      </c>
      <c r="J50" s="173" t="str">
        <f>VLOOKUP(A50,'Kursy walut'!A:E,3,0)</f>
        <v>EUR</v>
      </c>
      <c r="K50" s="52">
        <f>C50/VLOOKUP(D50,'Kursy walut'!C:E,2,0)</f>
        <v>9.99</v>
      </c>
      <c r="L50" s="170" t="s">
        <v>86</v>
      </c>
      <c r="M50" s="56">
        <f>C50/VLOOKUP(D50,'Kursy walut'!C:E,3,0)</f>
        <v>10.212635452872624</v>
      </c>
      <c r="N50" s="52" t="s">
        <v>85</v>
      </c>
    </row>
    <row r="51" spans="1:14" ht="14" x14ac:dyDescent="0.15">
      <c r="A51" s="52" t="s">
        <v>39</v>
      </c>
      <c r="B51" s="14" t="str">
        <f ca="1">VLOOKUP(A51,'Country Names'!$1:$1000,2,0)</f>
        <v>Netherlands</v>
      </c>
      <c r="C51" s="52">
        <v>9.99</v>
      </c>
      <c r="D51" s="170" t="s">
        <v>86</v>
      </c>
      <c r="E51" s="172" t="str">
        <f>VLOOKUP(A51,'Kursy walut'!A:E,3,0)</f>
        <v>EUR</v>
      </c>
      <c r="G51" s="52" t="s">
        <v>39</v>
      </c>
      <c r="H51" s="14" t="str">
        <f ca="1">VLOOKUP(G51,'Country Names'!$1:$1000,2,0)</f>
        <v>Netherlands</v>
      </c>
      <c r="I51" s="56">
        <f>IF(D51="USD",C51*VLOOKUP(J51,'Kursy walut'!C:E,2,0),IF(D51="EUR",C51*VLOOKUP(J51,'Kursy walut'!C:E,3,0),C51))</f>
        <v>10.212777000000001</v>
      </c>
      <c r="J51" s="173" t="str">
        <f>VLOOKUP(A51,'Kursy walut'!A:E,3,0)</f>
        <v>EUR</v>
      </c>
      <c r="K51" s="52">
        <f>C51/VLOOKUP(D51,'Kursy walut'!C:E,2,0)</f>
        <v>9.99</v>
      </c>
      <c r="L51" s="170" t="s">
        <v>86</v>
      </c>
      <c r="M51" s="56">
        <f>C51/VLOOKUP(D51,'Kursy walut'!C:E,3,0)</f>
        <v>10.212635452872624</v>
      </c>
      <c r="N51" s="52" t="s">
        <v>85</v>
      </c>
    </row>
    <row r="52" spans="1:14" ht="14" x14ac:dyDescent="0.15">
      <c r="A52" s="52" t="s">
        <v>43</v>
      </c>
      <c r="B52" s="14" t="str">
        <f ca="1">VLOOKUP(A52,'Country Names'!$1:$1000,2,0)</f>
        <v>Lithuania</v>
      </c>
      <c r="C52" s="52">
        <v>9.99</v>
      </c>
      <c r="D52" s="170" t="s">
        <v>86</v>
      </c>
      <c r="E52" s="172" t="str">
        <f>VLOOKUP(A52,'Kursy walut'!A:E,3,0)</f>
        <v>EUR</v>
      </c>
      <c r="G52" s="52" t="s">
        <v>43</v>
      </c>
      <c r="H52" s="14" t="str">
        <f ca="1">VLOOKUP(G52,'Country Names'!$1:$1000,2,0)</f>
        <v>Lithuania</v>
      </c>
      <c r="I52" s="56">
        <f>IF(D52="USD",C52*VLOOKUP(J52,'Kursy walut'!C:E,2,0),IF(D52="EUR",C52*VLOOKUP(J52,'Kursy walut'!C:E,3,0),C52))</f>
        <v>10.212777000000001</v>
      </c>
      <c r="J52" s="173" t="str">
        <f>VLOOKUP(A52,'Kursy walut'!A:E,3,0)</f>
        <v>EUR</v>
      </c>
      <c r="K52" s="52">
        <f>C52/VLOOKUP(D52,'Kursy walut'!C:E,2,0)</f>
        <v>9.99</v>
      </c>
      <c r="L52" s="170" t="s">
        <v>86</v>
      </c>
      <c r="M52" s="56">
        <f>C52/VLOOKUP(D52,'Kursy walut'!C:E,3,0)</f>
        <v>10.212635452872624</v>
      </c>
      <c r="N52" s="52" t="s">
        <v>85</v>
      </c>
    </row>
    <row r="53" spans="1:14" ht="14" x14ac:dyDescent="0.15">
      <c r="A53" s="52" t="s">
        <v>42</v>
      </c>
      <c r="B53" s="14" t="str">
        <f ca="1">VLOOKUP(A53,'Country Names'!$1:$1000,2,0)</f>
        <v>Estonia</v>
      </c>
      <c r="C53" s="52">
        <v>9.99</v>
      </c>
      <c r="D53" s="170" t="s">
        <v>86</v>
      </c>
      <c r="E53" s="172" t="str">
        <f>VLOOKUP(A53,'Kursy walut'!A:E,3,0)</f>
        <v>EUR</v>
      </c>
      <c r="G53" s="52" t="s">
        <v>42</v>
      </c>
      <c r="H53" s="14" t="str">
        <f ca="1">VLOOKUP(G53,'Country Names'!$1:$1000,2,0)</f>
        <v>Estonia</v>
      </c>
      <c r="I53" s="56">
        <f>IF(D53="USD",C53*VLOOKUP(J53,'Kursy walut'!C:E,2,0),IF(D53="EUR",C53*VLOOKUP(J53,'Kursy walut'!C:E,3,0),C53))</f>
        <v>10.212777000000001</v>
      </c>
      <c r="J53" s="173" t="str">
        <f>VLOOKUP(A53,'Kursy walut'!A:E,3,0)</f>
        <v>EUR</v>
      </c>
      <c r="K53" s="52">
        <f>C53/VLOOKUP(D53,'Kursy walut'!C:E,2,0)</f>
        <v>9.99</v>
      </c>
      <c r="L53" s="170" t="s">
        <v>86</v>
      </c>
      <c r="M53" s="56">
        <f>C53/VLOOKUP(D53,'Kursy walut'!C:E,3,0)</f>
        <v>10.212635452872624</v>
      </c>
      <c r="N53" s="52" t="s">
        <v>85</v>
      </c>
    </row>
    <row r="54" spans="1:14" ht="14" x14ac:dyDescent="0.15">
      <c r="A54" s="52" t="s">
        <v>44</v>
      </c>
      <c r="B54" s="14" t="str">
        <f ca="1">VLOOKUP(A54,'Country Names'!$1:$1000,2,0)</f>
        <v>Latvia</v>
      </c>
      <c r="C54" s="52">
        <v>9.99</v>
      </c>
      <c r="D54" s="170" t="s">
        <v>86</v>
      </c>
      <c r="E54" s="172" t="str">
        <f>VLOOKUP(A54,'Kursy walut'!A:E,3,0)</f>
        <v>EUR</v>
      </c>
      <c r="G54" s="52" t="s">
        <v>44</v>
      </c>
      <c r="H54" s="14" t="str">
        <f ca="1">VLOOKUP(G54,'Country Names'!$1:$1000,2,0)</f>
        <v>Latvia</v>
      </c>
      <c r="I54" s="56">
        <f>IF(D54="USD",C54*VLOOKUP(J54,'Kursy walut'!C:E,2,0),IF(D54="EUR",C54*VLOOKUP(J54,'Kursy walut'!C:E,3,0),C54))</f>
        <v>10.212777000000001</v>
      </c>
      <c r="J54" s="173" t="str">
        <f>VLOOKUP(A54,'Kursy walut'!A:E,3,0)</f>
        <v>EUR</v>
      </c>
      <c r="K54" s="52">
        <f>C54/VLOOKUP(D54,'Kursy walut'!C:E,2,0)</f>
        <v>9.99</v>
      </c>
      <c r="L54" s="170" t="s">
        <v>86</v>
      </c>
      <c r="M54" s="56">
        <f>C54/VLOOKUP(D54,'Kursy walut'!C:E,3,0)</f>
        <v>10.212635452872624</v>
      </c>
      <c r="N54" s="52" t="s">
        <v>85</v>
      </c>
    </row>
    <row r="55" spans="1:14" ht="14" x14ac:dyDescent="0.15">
      <c r="A55" s="52" t="s">
        <v>46</v>
      </c>
      <c r="B55" s="14" t="str">
        <f ca="1">VLOOKUP(A55,'Country Names'!$1:$1000,2,0)</f>
        <v>Croatia</v>
      </c>
      <c r="C55" s="52">
        <v>9.99</v>
      </c>
      <c r="D55" s="170" t="s">
        <v>86</v>
      </c>
      <c r="E55" s="172" t="str">
        <f>VLOOKUP(A55,'Kursy walut'!A:E,3,0)</f>
        <v>HRK</v>
      </c>
      <c r="G55" s="52" t="s">
        <v>46</v>
      </c>
      <c r="H55" s="14" t="str">
        <f ca="1">VLOOKUP(G55,'Country Names'!$1:$1000,2,0)</f>
        <v>Croatia</v>
      </c>
      <c r="I55" s="56">
        <f>IF(D55="USD",C55*VLOOKUP(J55,'Kursy walut'!C:E,2,0),IF(D55="EUR",C55*VLOOKUP(J55,'Kursy walut'!C:E,3,0),C55))</f>
        <v>76.851072000000002</v>
      </c>
      <c r="J55" s="173" t="str">
        <f>VLOOKUP(A55,'Kursy walut'!A:E,3,0)</f>
        <v>HRK</v>
      </c>
      <c r="K55" s="52">
        <f>C55/VLOOKUP(D55,'Kursy walut'!C:E,2,0)</f>
        <v>9.99</v>
      </c>
      <c r="L55" s="170" t="s">
        <v>86</v>
      </c>
      <c r="M55" s="56">
        <f>C55/VLOOKUP(D55,'Kursy walut'!C:E,3,0)</f>
        <v>10.212635452872624</v>
      </c>
      <c r="N55" s="52" t="s">
        <v>85</v>
      </c>
    </row>
    <row r="56" spans="1:14" ht="14" x14ac:dyDescent="0.15">
      <c r="A56" s="52" t="s">
        <v>50</v>
      </c>
      <c r="B56" s="14" t="str">
        <f ca="1">VLOOKUP(A56,'Country Names'!$1:$1000,2,0)</f>
        <v>Serbia</v>
      </c>
      <c r="C56" s="52">
        <v>9.99</v>
      </c>
      <c r="D56" s="170" t="s">
        <v>86</v>
      </c>
      <c r="E56" s="172" t="str">
        <f>VLOOKUP(A56,'Kursy walut'!A:E,3,0)</f>
        <v>RSD</v>
      </c>
      <c r="G56" s="52" t="s">
        <v>50</v>
      </c>
      <c r="H56" s="14" t="str">
        <f ca="1">VLOOKUP(G56,'Country Names'!$1:$1000,2,0)</f>
        <v>Serbia</v>
      </c>
      <c r="I56" s="56">
        <f>IF(D56="USD",C56*VLOOKUP(J56,'Kursy walut'!C:E,2,0),IF(D56="EUR",C56*VLOOKUP(J56,'Kursy walut'!C:E,3,0),C56))</f>
        <v>1197.941859</v>
      </c>
      <c r="J56" s="173" t="str">
        <f>VLOOKUP(A56,'Kursy walut'!A:E,3,0)</f>
        <v>RSD</v>
      </c>
      <c r="K56" s="52">
        <f>C56/VLOOKUP(D56,'Kursy walut'!C:E,2,0)</f>
        <v>9.99</v>
      </c>
      <c r="L56" s="170" t="s">
        <v>86</v>
      </c>
      <c r="M56" s="56">
        <f>C56/VLOOKUP(D56,'Kursy walut'!C:E,3,0)</f>
        <v>10.212635452872624</v>
      </c>
      <c r="N56" s="52" t="s">
        <v>85</v>
      </c>
    </row>
    <row r="57" spans="1:14" ht="14" x14ac:dyDescent="0.15">
      <c r="A57" s="52" t="s">
        <v>51</v>
      </c>
      <c r="B57" s="14" t="str">
        <f ca="1">VLOOKUP(A57,'Country Names'!$1:$1000,2,0)</f>
        <v>Moldova</v>
      </c>
      <c r="C57" s="52">
        <v>9.99</v>
      </c>
      <c r="D57" s="170" t="s">
        <v>86</v>
      </c>
      <c r="E57" s="172" t="str">
        <f>VLOOKUP(A57,'Kursy walut'!A:E,3,0)</f>
        <v>MDL</v>
      </c>
      <c r="G57" s="52" t="s">
        <v>51</v>
      </c>
      <c r="H57" s="14" t="str">
        <f ca="1">VLOOKUP(G57,'Country Names'!$1:$1000,2,0)</f>
        <v>Moldova</v>
      </c>
      <c r="I57" s="56">
        <f>IF(D57="USD",C57*VLOOKUP(J57,'Kursy walut'!C:E,2,0),IF(D57="EUR",C57*VLOOKUP(J57,'Kursy walut'!C:E,3,0),C57))</f>
        <v>194.50929600000001</v>
      </c>
      <c r="J57" s="173" t="str">
        <f>VLOOKUP(A57,'Kursy walut'!A:E,3,0)</f>
        <v>MDL</v>
      </c>
      <c r="K57" s="52">
        <f>C57/VLOOKUP(D57,'Kursy walut'!C:E,2,0)</f>
        <v>9.99</v>
      </c>
      <c r="L57" s="170" t="s">
        <v>86</v>
      </c>
      <c r="M57" s="56">
        <f>C57/VLOOKUP(D57,'Kursy walut'!C:E,3,0)</f>
        <v>10.212635452872624</v>
      </c>
      <c r="N57" s="52" t="s">
        <v>85</v>
      </c>
    </row>
    <row r="58" spans="1:14" ht="14" x14ac:dyDescent="0.15">
      <c r="A58" s="52" t="s">
        <v>55</v>
      </c>
      <c r="B58" s="14" t="str">
        <f ca="1">VLOOKUP(A58,'Country Names'!$1:$1000,2,0)</f>
        <v>Montenegro</v>
      </c>
      <c r="C58" s="52">
        <v>9.99</v>
      </c>
      <c r="D58" s="170" t="s">
        <v>86</v>
      </c>
      <c r="E58" s="172" t="str">
        <f>VLOOKUP(A58,'Kursy walut'!A:E,3,0)</f>
        <v>EUR</v>
      </c>
      <c r="G58" s="52" t="s">
        <v>55</v>
      </c>
      <c r="H58" s="14" t="str">
        <f ca="1">VLOOKUP(G58,'Country Names'!$1:$1000,2,0)</f>
        <v>Montenegro</v>
      </c>
      <c r="I58" s="56">
        <f>IF(D58="USD",C58*VLOOKUP(J58,'Kursy walut'!C:E,2,0),IF(D58="EUR",C58*VLOOKUP(J58,'Kursy walut'!C:E,3,0),C58))</f>
        <v>10.212777000000001</v>
      </c>
      <c r="J58" s="173" t="str">
        <f>VLOOKUP(A58,'Kursy walut'!A:E,3,0)</f>
        <v>EUR</v>
      </c>
      <c r="K58" s="52">
        <f>C58/VLOOKUP(D58,'Kursy walut'!C:E,2,0)</f>
        <v>9.99</v>
      </c>
      <c r="L58" s="170" t="s">
        <v>86</v>
      </c>
      <c r="M58" s="56">
        <f>C58/VLOOKUP(D58,'Kursy walut'!C:E,3,0)</f>
        <v>10.212635452872624</v>
      </c>
      <c r="N58" s="52" t="s">
        <v>85</v>
      </c>
    </row>
    <row r="59" spans="1:14" ht="14" x14ac:dyDescent="0.15">
      <c r="A59" s="52" t="s">
        <v>53</v>
      </c>
      <c r="B59" s="14" t="str">
        <f ca="1">VLOOKUP(A59,'Country Names'!$1:$1000,2,0)</f>
        <v>Bosnia and Herzegovina</v>
      </c>
      <c r="C59" s="52">
        <v>9.99</v>
      </c>
      <c r="D59" s="170" t="s">
        <v>86</v>
      </c>
      <c r="E59" s="172" t="str">
        <f>VLOOKUP(A59,'Kursy walut'!A:E,3,0)</f>
        <v>BAM</v>
      </c>
      <c r="G59" s="52" t="s">
        <v>53</v>
      </c>
      <c r="H59" s="14" t="str">
        <f ca="1">VLOOKUP(G59,'Country Names'!$1:$1000,2,0)</f>
        <v>Bosnia and Herzegovina</v>
      </c>
      <c r="I59" s="56">
        <f>IF(D59="USD",C59*VLOOKUP(J59,'Kursy walut'!C:E,2,0),IF(D59="EUR",C59*VLOOKUP(J59,'Kursy walut'!C:E,3,0),C59))</f>
        <v>19.996983</v>
      </c>
      <c r="J59" s="173" t="str">
        <f>VLOOKUP(A59,'Kursy walut'!A:E,3,0)</f>
        <v>BAM</v>
      </c>
      <c r="K59" s="52">
        <f>C59/VLOOKUP(D59,'Kursy walut'!C:E,2,0)</f>
        <v>9.99</v>
      </c>
      <c r="L59" s="170" t="s">
        <v>86</v>
      </c>
      <c r="M59" s="56">
        <f>C59/VLOOKUP(D59,'Kursy walut'!C:E,3,0)</f>
        <v>10.212635452872624</v>
      </c>
      <c r="N59" s="52" t="s">
        <v>85</v>
      </c>
    </row>
    <row r="60" spans="1:14" ht="14" x14ac:dyDescent="0.15">
      <c r="A60" s="52" t="s">
        <v>52</v>
      </c>
      <c r="B60" s="14" t="str">
        <f ca="1">VLOOKUP(A60,'Country Names'!$1:$1000,2,0)</f>
        <v>Albania</v>
      </c>
      <c r="C60" s="52">
        <v>9.99</v>
      </c>
      <c r="D60" s="170" t="s">
        <v>86</v>
      </c>
      <c r="E60" s="172" t="str">
        <f>VLOOKUP(A60,'Kursy walut'!A:E,3,0)</f>
        <v>ALL</v>
      </c>
      <c r="G60" s="52" t="s">
        <v>52</v>
      </c>
      <c r="H60" s="14" t="str">
        <f ca="1">VLOOKUP(G60,'Country Names'!$1:$1000,2,0)</f>
        <v>Albania</v>
      </c>
      <c r="I60" s="56">
        <f>IF(D60="USD",C60*VLOOKUP(J60,'Kursy walut'!C:E,2,0),IF(D60="EUR",C60*VLOOKUP(J60,'Kursy walut'!C:E,3,0),C60))</f>
        <v>1193.5582470000002</v>
      </c>
      <c r="J60" s="173" t="str">
        <f>VLOOKUP(A60,'Kursy walut'!A:E,3,0)</f>
        <v>ALL</v>
      </c>
      <c r="K60" s="52">
        <f>C60/VLOOKUP(D60,'Kursy walut'!C:E,2,0)</f>
        <v>9.99</v>
      </c>
      <c r="L60" s="170" t="s">
        <v>86</v>
      </c>
      <c r="M60" s="56">
        <f>C60/VLOOKUP(D60,'Kursy walut'!C:E,3,0)</f>
        <v>10.212635452872624</v>
      </c>
      <c r="N60" s="52" t="s">
        <v>85</v>
      </c>
    </row>
    <row r="61" spans="1:14" ht="14" x14ac:dyDescent="0.15">
      <c r="A61" s="52" t="s">
        <v>56</v>
      </c>
      <c r="B61" s="14" t="str">
        <f ca="1">VLOOKUP(A61,'Country Names'!$1:$1000,2,0)</f>
        <v>North Macedonia</v>
      </c>
      <c r="C61" s="52">
        <v>9.99</v>
      </c>
      <c r="D61" s="170" t="s">
        <v>86</v>
      </c>
      <c r="E61" s="172" t="str">
        <f>VLOOKUP(A61,'Kursy walut'!A:E,3,0)</f>
        <v>MKD</v>
      </c>
      <c r="G61" s="52" t="s">
        <v>56</v>
      </c>
      <c r="H61" s="14" t="str">
        <f ca="1">VLOOKUP(G61,'Country Names'!$1:$1000,2,0)</f>
        <v>North Macedonia</v>
      </c>
      <c r="I61" s="56">
        <f>IF(D61="USD",C61*VLOOKUP(J61,'Kursy walut'!C:E,2,0),IF(D61="EUR",C61*VLOOKUP(J61,'Kursy walut'!C:E,3,0),C61))</f>
        <v>629.42194800000004</v>
      </c>
      <c r="J61" s="173" t="str">
        <f>VLOOKUP(A61,'Kursy walut'!A:E,3,0)</f>
        <v>MKD</v>
      </c>
      <c r="K61" s="52">
        <f>C61/VLOOKUP(D61,'Kursy walut'!C:E,2,0)</f>
        <v>9.99</v>
      </c>
      <c r="L61" s="170" t="s">
        <v>86</v>
      </c>
      <c r="M61" s="56">
        <f>C61/VLOOKUP(D61,'Kursy walut'!C:E,3,0)</f>
        <v>10.212635452872624</v>
      </c>
      <c r="N61" s="52" t="s">
        <v>85</v>
      </c>
    </row>
    <row r="62" spans="1:14" ht="14" x14ac:dyDescent="0.15">
      <c r="A62" s="52" t="s">
        <v>54</v>
      </c>
      <c r="B62" s="14" t="str">
        <f ca="1">VLOOKUP(A62,'Country Names'!$1:$1000,2,0)</f>
        <v>Bulgaria</v>
      </c>
      <c r="C62" s="52">
        <v>9.99</v>
      </c>
      <c r="D62" s="170" t="s">
        <v>86</v>
      </c>
      <c r="E62" s="172" t="str">
        <f>VLOOKUP(A62,'Kursy walut'!A:E,3,0)</f>
        <v>BGN</v>
      </c>
      <c r="G62" s="52" t="s">
        <v>54</v>
      </c>
      <c r="H62" s="14" t="str">
        <f ca="1">VLOOKUP(G62,'Country Names'!$1:$1000,2,0)</f>
        <v>Bulgaria</v>
      </c>
      <c r="I62" s="56">
        <f>IF(D62="USD",C62*VLOOKUP(J62,'Kursy walut'!C:E,2,0),IF(D62="EUR",C62*VLOOKUP(J62,'Kursy walut'!C:E,3,0),C62))</f>
        <v>19.973007000000003</v>
      </c>
      <c r="J62" s="173" t="str">
        <f>VLOOKUP(A62,'Kursy walut'!A:E,3,0)</f>
        <v>BGN</v>
      </c>
      <c r="K62" s="52">
        <f>C62/VLOOKUP(D62,'Kursy walut'!C:E,2,0)</f>
        <v>9.99</v>
      </c>
      <c r="L62" s="170" t="s">
        <v>86</v>
      </c>
      <c r="M62" s="56">
        <f>C62/VLOOKUP(D62,'Kursy walut'!C:E,3,0)</f>
        <v>10.212635452872624</v>
      </c>
      <c r="N62" s="52" t="s">
        <v>85</v>
      </c>
    </row>
    <row r="63" spans="1:14" ht="14" x14ac:dyDescent="0.15">
      <c r="A63" s="52" t="s">
        <v>76</v>
      </c>
      <c r="B63" s="14" t="str">
        <f ca="1">VLOOKUP(A63,'Country Names'!$1:$1000,2,0)</f>
        <v>Indonesia</v>
      </c>
      <c r="C63" s="52">
        <v>9.99</v>
      </c>
      <c r="D63" s="170" t="s">
        <v>86</v>
      </c>
      <c r="E63" s="172" t="str">
        <f>VLOOKUP(A63,'Kursy walut'!A:E,3,0)</f>
        <v>IDR</v>
      </c>
      <c r="G63" s="52" t="s">
        <v>76</v>
      </c>
      <c r="H63" s="14" t="str">
        <f ca="1">VLOOKUP(G63,'Country Names'!$1:$1000,2,0)</f>
        <v>Indonesia</v>
      </c>
      <c r="I63" s="56">
        <f>IF(D63="USD",C63*VLOOKUP(J63,'Kursy walut'!C:E,2,0),IF(D63="EUR",C63*VLOOKUP(J63,'Kursy walut'!C:E,3,0),C63))</f>
        <v>152820.15986700001</v>
      </c>
      <c r="J63" s="173" t="str">
        <f>VLOOKUP(A63,'Kursy walut'!A:E,3,0)</f>
        <v>IDR</v>
      </c>
      <c r="K63" s="52">
        <f>C63/VLOOKUP(D63,'Kursy walut'!C:E,2,0)</f>
        <v>9.99</v>
      </c>
      <c r="L63" s="170" t="s">
        <v>86</v>
      </c>
      <c r="M63" s="56">
        <f>C63/VLOOKUP(D63,'Kursy walut'!C:E,3,0)</f>
        <v>10.212635452872624</v>
      </c>
      <c r="N63" s="52" t="s">
        <v>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N6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12.6640625" defaultRowHeight="15.75" customHeight="1" x14ac:dyDescent="0.15"/>
  <sheetData>
    <row r="1" spans="1:14" ht="15.75" customHeight="1" x14ac:dyDescent="0.15">
      <c r="A1" s="1" t="s">
        <v>899</v>
      </c>
      <c r="B1" s="1" t="s">
        <v>502</v>
      </c>
      <c r="C1" s="53" t="s">
        <v>510</v>
      </c>
      <c r="D1" s="52" t="s">
        <v>902</v>
      </c>
      <c r="E1" s="52" t="s">
        <v>507</v>
      </c>
      <c r="F1" s="52"/>
      <c r="G1" s="1" t="s">
        <v>899</v>
      </c>
      <c r="H1" s="1" t="s">
        <v>502</v>
      </c>
      <c r="I1" s="174" t="s">
        <v>510</v>
      </c>
      <c r="J1" s="175" t="s">
        <v>9</v>
      </c>
      <c r="L1" s="52" t="s">
        <v>86</v>
      </c>
      <c r="N1" s="52" t="s">
        <v>85</v>
      </c>
    </row>
    <row r="2" spans="1:14" ht="15.75" customHeight="1" x14ac:dyDescent="0.15">
      <c r="A2" s="52" t="s">
        <v>83</v>
      </c>
      <c r="B2" s="14" t="str">
        <f ca="1">VLOOKUP(A2,'Country Names'!$1:$1000,2,0)</f>
        <v>Argentina</v>
      </c>
      <c r="C2" s="176">
        <v>599</v>
      </c>
      <c r="D2" s="14" t="s">
        <v>91</v>
      </c>
      <c r="E2" s="14" t="str">
        <f>VLOOKUP(A2,'Kursy walut'!A:E,3,0)</f>
        <v>ARS</v>
      </c>
      <c r="G2" s="52" t="s">
        <v>83</v>
      </c>
      <c r="H2" s="14" t="str">
        <f ca="1">VLOOKUP(G2,'Country Names'!$1:$1000,2,0)</f>
        <v>Argentina</v>
      </c>
      <c r="I2" s="174">
        <f>IF(D2="USD",C2*VLOOKUP(J2,'Kursy walut'!C:E,2,0),IF(D2="EUR",C2*VLOOKUP(J2,'Kursy walut'!C:E,3,0),C2))</f>
        <v>599</v>
      </c>
      <c r="J2" s="14" t="str">
        <f>VLOOKUP(A2,'Kursy walut'!A:E,3,0)</f>
        <v>ARS</v>
      </c>
      <c r="K2" s="165">
        <f>C2/VLOOKUP(D2,'Kursy walut'!C:E,2,0)</f>
        <v>4.0108581093658557</v>
      </c>
      <c r="L2" s="52" t="s">
        <v>86</v>
      </c>
      <c r="M2" s="165">
        <f>C2/VLOOKUP(D2,'Kursy walut'!C:E,3,0)</f>
        <v>4.100113968109464</v>
      </c>
      <c r="N2" s="52" t="s">
        <v>85</v>
      </c>
    </row>
    <row r="3" spans="1:14" ht="15.75" customHeight="1" x14ac:dyDescent="0.15">
      <c r="A3" s="52" t="s">
        <v>57</v>
      </c>
      <c r="B3" s="14" t="str">
        <f ca="1">VLOOKUP(A3,'Country Names'!$1:$1000,2,0)</f>
        <v>Australia</v>
      </c>
      <c r="C3" s="176">
        <v>10.95</v>
      </c>
      <c r="D3" s="14" t="s">
        <v>93</v>
      </c>
      <c r="E3" s="14" t="str">
        <f>VLOOKUP(A3,'Kursy walut'!A:E,3,0)</f>
        <v>AUD</v>
      </c>
      <c r="G3" s="52" t="s">
        <v>57</v>
      </c>
      <c r="H3" s="14" t="str">
        <f ca="1">VLOOKUP(G3,'Country Names'!$1:$1000,2,0)</f>
        <v>Australia</v>
      </c>
      <c r="I3" s="174">
        <f>IF(D3="USD",C3*VLOOKUP(J3,'Kursy walut'!C:E,2,0),IF(D3="EUR",C3*VLOOKUP(J3,'Kursy walut'!C:E,3,0),C3))</f>
        <v>10.95</v>
      </c>
      <c r="J3" s="14" t="str">
        <f>VLOOKUP(A3,'Kursy walut'!A:E,3,0)</f>
        <v>AUD</v>
      </c>
      <c r="K3" s="165">
        <f>C3/VLOOKUP(D3,'Kursy walut'!C:E,2,0)</f>
        <v>7.0408950617283947</v>
      </c>
      <c r="L3" s="52" t="s">
        <v>86</v>
      </c>
      <c r="M3" s="165">
        <f>C3/VLOOKUP(D3,'Kursy walut'!C:E,3,0)</f>
        <v>7.1316920672137547</v>
      </c>
      <c r="N3" s="52" t="s">
        <v>85</v>
      </c>
    </row>
    <row r="4" spans="1:14" ht="15.75" customHeight="1" x14ac:dyDescent="0.15">
      <c r="A4" s="52" t="s">
        <v>547</v>
      </c>
      <c r="B4" s="14" t="str">
        <f ca="1">VLOOKUP(A4,'Country Names'!$1:$1000,2,0)</f>
        <v>Belarus</v>
      </c>
      <c r="C4" s="177">
        <v>9.99</v>
      </c>
      <c r="D4" s="52" t="s">
        <v>85</v>
      </c>
      <c r="E4" s="14" t="str">
        <f>VLOOKUP(A4,'Kursy walut'!A:E,3,0)</f>
        <v>BYN</v>
      </c>
      <c r="G4" s="52" t="s">
        <v>547</v>
      </c>
      <c r="H4" s="14" t="str">
        <f ca="1">VLOOKUP(G4,'Country Names'!$1:$1000,2,0)</f>
        <v>Belarus</v>
      </c>
      <c r="I4" s="174">
        <f>IF(D4="USD",C4*VLOOKUP(J4,'Kursy walut'!C:E,2,0),IF(D4="EUR",C4*VLOOKUP(J4,'Kursy walut'!C:E,3,0),C4))</f>
        <v>24.760214999999999</v>
      </c>
      <c r="J4" s="14" t="str">
        <f>VLOOKUP(A4,'Kursy walut'!A:E,3,0)</f>
        <v>BYN</v>
      </c>
      <c r="K4" s="165">
        <f>C4/VLOOKUP(D4,'Kursy walut'!C:E,2,0)</f>
        <v>9.7720825589357343</v>
      </c>
      <c r="L4" s="52" t="s">
        <v>86</v>
      </c>
      <c r="M4" s="165">
        <f>C4/VLOOKUP(D4,'Kursy walut'!C:E,3,0)</f>
        <v>9.99</v>
      </c>
      <c r="N4" s="52" t="s">
        <v>85</v>
      </c>
    </row>
    <row r="5" spans="1:14" ht="15.75" customHeight="1" x14ac:dyDescent="0.15">
      <c r="A5" s="52" t="s">
        <v>77</v>
      </c>
      <c r="B5" s="14" t="str">
        <f ca="1">VLOOKUP(A5,'Country Names'!$1:$1000,2,0)</f>
        <v>Brazil</v>
      </c>
      <c r="C5" s="176">
        <v>29.99</v>
      </c>
      <c r="D5" s="14" t="s">
        <v>98</v>
      </c>
      <c r="E5" s="14" t="str">
        <f>VLOOKUP(A5,'Kursy walut'!A:E,3,0)</f>
        <v>BRL</v>
      </c>
      <c r="G5" s="52" t="s">
        <v>77</v>
      </c>
      <c r="H5" s="14" t="str">
        <f ca="1">VLOOKUP(G5,'Country Names'!$1:$1000,2,0)</f>
        <v>Brazil</v>
      </c>
      <c r="I5" s="174">
        <f>IF(D5="USD",C5*VLOOKUP(J5,'Kursy walut'!C:E,2,0),IF(D5="EUR",C5*VLOOKUP(J5,'Kursy walut'!C:E,3,0),C5))</f>
        <v>29.99</v>
      </c>
      <c r="J5" s="14" t="str">
        <f>VLOOKUP(A5,'Kursy walut'!A:E,3,0)</f>
        <v>BRL</v>
      </c>
      <c r="K5" s="165">
        <f>C5/VLOOKUP(D5,'Kursy walut'!C:E,2,0)</f>
        <v>5.6962145529829629</v>
      </c>
      <c r="L5" s="52" t="s">
        <v>86</v>
      </c>
      <c r="M5" s="165">
        <f>C5/VLOOKUP(D5,'Kursy walut'!C:E,3,0)</f>
        <v>5.8151710230357558</v>
      </c>
      <c r="N5" s="52" t="s">
        <v>85</v>
      </c>
    </row>
    <row r="6" spans="1:14" ht="15.75" customHeight="1" x14ac:dyDescent="0.15">
      <c r="A6" s="52" t="s">
        <v>68</v>
      </c>
      <c r="B6" s="14" t="str">
        <f ca="1">VLOOKUP(A6,'Country Names'!$1:$1000,2,0)</f>
        <v>Chile</v>
      </c>
      <c r="C6" s="176">
        <v>5990</v>
      </c>
      <c r="D6" s="14" t="s">
        <v>104</v>
      </c>
      <c r="E6" s="14" t="str">
        <f>VLOOKUP(A6,'Kursy walut'!A:E,3,0)</f>
        <v>CLP</v>
      </c>
      <c r="G6" s="52" t="s">
        <v>68</v>
      </c>
      <c r="H6" s="14" t="str">
        <f ca="1">VLOOKUP(G6,'Country Names'!$1:$1000,2,0)</f>
        <v>Chile</v>
      </c>
      <c r="I6" s="174">
        <f>IF(D6="USD",C6*VLOOKUP(J6,'Kursy walut'!C:E,2,0),IF(D6="EUR",C6*VLOOKUP(J6,'Kursy walut'!C:E,3,0),C6))</f>
        <v>5990</v>
      </c>
      <c r="J6" s="14" t="str">
        <f>VLOOKUP(A6,'Kursy walut'!A:E,3,0)</f>
        <v>CLP</v>
      </c>
      <c r="K6" s="165">
        <f>C6/VLOOKUP(D6,'Kursy walut'!C:E,2,0)</f>
        <v>6.3333833801023909</v>
      </c>
      <c r="L6" s="52" t="s">
        <v>86</v>
      </c>
      <c r="M6" s="165">
        <f>C6/VLOOKUP(D6,'Kursy walut'!C:E,3,0)</f>
        <v>6.4725618486241752</v>
      </c>
      <c r="N6" s="52" t="s">
        <v>85</v>
      </c>
    </row>
    <row r="7" spans="1:14" ht="15.75" customHeight="1" x14ac:dyDescent="0.15">
      <c r="A7" s="52" t="s">
        <v>80</v>
      </c>
      <c r="B7" s="14" t="str">
        <f ca="1">VLOOKUP(A7,'Country Names'!$1:$1000,2,0)</f>
        <v>Colombia</v>
      </c>
      <c r="C7" s="176">
        <v>19900</v>
      </c>
      <c r="D7" s="14" t="s">
        <v>106</v>
      </c>
      <c r="E7" s="14" t="str">
        <f>VLOOKUP(A7,'Kursy walut'!A:E,3,0)</f>
        <v>COP</v>
      </c>
      <c r="G7" s="52" t="s">
        <v>80</v>
      </c>
      <c r="H7" s="14" t="str">
        <f ca="1">VLOOKUP(G7,'Country Names'!$1:$1000,2,0)</f>
        <v>Colombia</v>
      </c>
      <c r="I7" s="174">
        <f>IF(D7="USD",C7*VLOOKUP(J7,'Kursy walut'!C:E,2,0),IF(D7="EUR",C7*VLOOKUP(J7,'Kursy walut'!C:E,3,0),C7))</f>
        <v>19900</v>
      </c>
      <c r="J7" s="14" t="str">
        <f>VLOOKUP(A7,'Kursy walut'!A:E,3,0)</f>
        <v>COP</v>
      </c>
      <c r="K7" s="165">
        <f>C7/VLOOKUP(D7,'Kursy walut'!C:E,2,0)</f>
        <v>4.3287413218797015</v>
      </c>
      <c r="L7" s="52" t="s">
        <v>86</v>
      </c>
      <c r="M7" s="165">
        <f>C7/VLOOKUP(D7,'Kursy walut'!C:E,3,0)</f>
        <v>4.4441533288282864</v>
      </c>
      <c r="N7" s="52" t="s">
        <v>85</v>
      </c>
    </row>
    <row r="8" spans="1:14" ht="15.75" customHeight="1" x14ac:dyDescent="0.15">
      <c r="A8" s="52" t="s">
        <v>41</v>
      </c>
      <c r="B8" s="14" t="str">
        <f ca="1">VLOOKUP(A8,'Country Names'!$1:$1000,2,0)</f>
        <v>Czechia</v>
      </c>
      <c r="C8" s="176">
        <v>339</v>
      </c>
      <c r="D8" s="14" t="s">
        <v>110</v>
      </c>
      <c r="E8" s="14" t="str">
        <f>VLOOKUP(A8,'Kursy walut'!A:E,3,0)</f>
        <v>CZK</v>
      </c>
      <c r="G8" s="52" t="s">
        <v>41</v>
      </c>
      <c r="H8" s="14" t="str">
        <f ca="1">VLOOKUP(G8,'Country Names'!$1:$1000,2,0)</f>
        <v>Czechia</v>
      </c>
      <c r="I8" s="174">
        <f>IF(D8="USD",C8*VLOOKUP(J8,'Kursy walut'!C:E,2,0),IF(D8="EUR",C8*VLOOKUP(J8,'Kursy walut'!C:E,3,0),C8))</f>
        <v>339</v>
      </c>
      <c r="J8" s="14" t="str">
        <f>VLOOKUP(A8,'Kursy walut'!A:E,3,0)</f>
        <v>CZK</v>
      </c>
      <c r="K8" s="165">
        <f>C8/VLOOKUP(D8,'Kursy walut'!C:E,2,0)</f>
        <v>13.512328505034239</v>
      </c>
      <c r="L8" s="52" t="s">
        <v>86</v>
      </c>
      <c r="M8" s="165">
        <f>C8/VLOOKUP(D8,'Kursy walut'!C:E,3,0)</f>
        <v>13.814462397359359</v>
      </c>
      <c r="N8" s="52" t="s">
        <v>85</v>
      </c>
    </row>
    <row r="9" spans="1:14" ht="15.75" customHeight="1" x14ac:dyDescent="0.15">
      <c r="A9" s="52" t="s">
        <v>58</v>
      </c>
      <c r="B9" s="14" t="str">
        <f ca="1">VLOOKUP(A9,'Country Names'!$1:$1000,2,0)</f>
        <v>Mexico</v>
      </c>
      <c r="C9" s="176">
        <v>149</v>
      </c>
      <c r="D9" s="14" t="s">
        <v>139</v>
      </c>
      <c r="E9" s="14" t="str">
        <f>VLOOKUP(A9,'Kursy walut'!A:E,3,0)</f>
        <v>MXN</v>
      </c>
      <c r="G9" s="52" t="s">
        <v>58</v>
      </c>
      <c r="H9" s="14" t="str">
        <f ca="1">VLOOKUP(G9,'Country Names'!$1:$1000,2,0)</f>
        <v>Mexico</v>
      </c>
      <c r="I9" s="174">
        <f>IF(D9="USD",C9*VLOOKUP(J9,'Kursy walut'!C:E,2,0),IF(D9="EUR",C9*VLOOKUP(J9,'Kursy walut'!C:E,3,0),C9))</f>
        <v>149</v>
      </c>
      <c r="J9" s="14" t="str">
        <f>VLOOKUP(A9,'Kursy walut'!A:E,3,0)</f>
        <v>MXN</v>
      </c>
      <c r="K9" s="165">
        <f>C9/VLOOKUP(D9,'Kursy walut'!C:E,2,0)</f>
        <v>7.4309766996488982</v>
      </c>
      <c r="L9" s="52" t="s">
        <v>86</v>
      </c>
      <c r="M9" s="165">
        <f>C9/VLOOKUP(D9,'Kursy walut'!C:E,3,0)</f>
        <v>7.5963822866640154</v>
      </c>
      <c r="N9" s="52" t="s">
        <v>85</v>
      </c>
    </row>
    <row r="10" spans="1:14" ht="15.75" customHeight="1" x14ac:dyDescent="0.15">
      <c r="A10" s="52" t="s">
        <v>70</v>
      </c>
      <c r="B10" s="14" t="str">
        <f ca="1">VLOOKUP(A10,'Country Names'!$1:$1000,2,0)</f>
        <v>Poland</v>
      </c>
      <c r="C10" s="176">
        <v>39.99</v>
      </c>
      <c r="D10" s="14" t="s">
        <v>159</v>
      </c>
      <c r="E10" s="14" t="str">
        <f>VLOOKUP(A10,'Kursy walut'!A:E,3,0)</f>
        <v>PLN</v>
      </c>
      <c r="G10" s="52" t="s">
        <v>70</v>
      </c>
      <c r="H10" s="14" t="str">
        <f ca="1">VLOOKUP(G10,'Country Names'!$1:$1000,2,0)</f>
        <v>Poland</v>
      </c>
      <c r="I10" s="174">
        <f>IF(D10="USD",C10*VLOOKUP(J10,'Kursy walut'!C:E,2,0),IF(D10="EUR",C10*VLOOKUP(J10,'Kursy walut'!C:E,3,0),C10))</f>
        <v>39.99</v>
      </c>
      <c r="J10" s="14" t="str">
        <f>VLOOKUP(A10,'Kursy walut'!A:E,3,0)</f>
        <v>PLN</v>
      </c>
      <c r="K10" s="165">
        <f>C10/VLOOKUP(D10,'Kursy walut'!C:E,2,0)</f>
        <v>8.0769929914564447</v>
      </c>
      <c r="L10" s="52" t="s">
        <v>86</v>
      </c>
      <c r="M10" s="165">
        <f>C10/VLOOKUP(D10,'Kursy walut'!C:E,3,0)</f>
        <v>8.256596605690218</v>
      </c>
      <c r="N10" s="52" t="s">
        <v>85</v>
      </c>
    </row>
    <row r="11" spans="1:14" ht="15.75" customHeight="1" x14ac:dyDescent="0.15">
      <c r="A11" s="178" t="s">
        <v>709</v>
      </c>
      <c r="B11" s="179" t="str">
        <f ca="1">VLOOKUP(A11,'Country Names'!$1:$1000,2,0)</f>
        <v>Russia</v>
      </c>
      <c r="C11" s="180"/>
      <c r="D11" s="179" t="s">
        <v>436</v>
      </c>
      <c r="E11" s="14" t="str">
        <f>VLOOKUP(A11,'Kursy walut'!A:E,3,0)</f>
        <v>RUB</v>
      </c>
      <c r="G11" s="178" t="s">
        <v>709</v>
      </c>
      <c r="H11" s="179" t="str">
        <f ca="1">VLOOKUP(G11,'Country Names'!$1:$1000,2,0)</f>
        <v>Russia</v>
      </c>
      <c r="I11" s="174">
        <f>IF(D11="USD",C11*VLOOKUP(J11,'Kursy walut'!C:E,2,0),IF(D11="EUR",C11*VLOOKUP(J11,'Kursy walut'!C:E,3,0),C11))</f>
        <v>0</v>
      </c>
      <c r="J11" s="14" t="str">
        <f>VLOOKUP(A11,'Kursy walut'!A:E,3,0)</f>
        <v>RUB</v>
      </c>
      <c r="K11" s="165">
        <f>C11/VLOOKUP(D11,'Kursy walut'!C:E,2,0)</f>
        <v>0</v>
      </c>
      <c r="L11" s="178" t="s">
        <v>86</v>
      </c>
      <c r="M11" s="165">
        <f>C11/VLOOKUP(D11,'Kursy walut'!C:E,3,0)</f>
        <v>0</v>
      </c>
      <c r="N11" s="178" t="s">
        <v>85</v>
      </c>
    </row>
    <row r="12" spans="1:14" ht="15.75" customHeight="1" x14ac:dyDescent="0.15">
      <c r="A12" s="52" t="s">
        <v>61</v>
      </c>
      <c r="B12" s="14" t="str">
        <f ca="1">VLOOKUP(A12,'Country Names'!$1:$1000,2,0)</f>
        <v>Singapore</v>
      </c>
      <c r="C12" s="176">
        <v>9.99</v>
      </c>
      <c r="D12" s="14" t="s">
        <v>168</v>
      </c>
      <c r="E12" s="14" t="str">
        <f>VLOOKUP(A12,'Kursy walut'!A:E,3,0)</f>
        <v>SGD</v>
      </c>
      <c r="G12" s="52" t="s">
        <v>61</v>
      </c>
      <c r="H12" s="14" t="str">
        <f ca="1">VLOOKUP(G12,'Country Names'!$1:$1000,2,0)</f>
        <v>Singapore</v>
      </c>
      <c r="I12" s="174">
        <f>IF(D12="USD",C12*VLOOKUP(J12,'Kursy walut'!C:E,2,0),IF(D12="EUR",C12*VLOOKUP(J12,'Kursy walut'!C:E,3,0),C12))</f>
        <v>9.99</v>
      </c>
      <c r="J12" s="14" t="str">
        <f>VLOOKUP(A12,'Kursy walut'!A:E,3,0)</f>
        <v>SGD</v>
      </c>
      <c r="K12" s="165">
        <f>C12/VLOOKUP(D12,'Kursy walut'!C:E,2,0)</f>
        <v>6.9772314569073899</v>
      </c>
      <c r="L12" s="52" t="s">
        <v>86</v>
      </c>
      <c r="M12" s="165">
        <f>C12/VLOOKUP(D12,'Kursy walut'!C:E,3,0)</f>
        <v>7.1301120548140746</v>
      </c>
      <c r="N12" s="52" t="s">
        <v>85</v>
      </c>
    </row>
    <row r="13" spans="1:14" ht="15.75" customHeight="1" x14ac:dyDescent="0.15">
      <c r="A13" s="52" t="s">
        <v>47</v>
      </c>
      <c r="B13" s="14" t="str">
        <f ca="1">VLOOKUP(A13,'Country Names'!$1:$1000,2,0)</f>
        <v>Slovakia</v>
      </c>
      <c r="C13" s="176">
        <v>9.99</v>
      </c>
      <c r="D13" s="14" t="s">
        <v>85</v>
      </c>
      <c r="E13" s="14" t="str">
        <f>VLOOKUP(A13,'Kursy walut'!A:E,3,0)</f>
        <v>EUR</v>
      </c>
      <c r="G13" s="52" t="s">
        <v>47</v>
      </c>
      <c r="H13" s="14" t="str">
        <f ca="1">VLOOKUP(G13,'Country Names'!$1:$1000,2,0)</f>
        <v>Slovakia</v>
      </c>
      <c r="I13" s="174">
        <f>IF(D13="USD",C13*VLOOKUP(J13,'Kursy walut'!C:E,2,0),IF(D13="EUR",C13*VLOOKUP(J13,'Kursy walut'!C:E,3,0),C13))</f>
        <v>9.99</v>
      </c>
      <c r="J13" s="14" t="str">
        <f>VLOOKUP(A13,'Kursy walut'!A:E,3,0)</f>
        <v>EUR</v>
      </c>
      <c r="K13" s="165">
        <f>C13/VLOOKUP(D13,'Kursy walut'!C:E,2,0)</f>
        <v>9.7720825589357343</v>
      </c>
      <c r="L13" s="52" t="s">
        <v>86</v>
      </c>
      <c r="M13" s="165">
        <f>C13/VLOOKUP(D13,'Kursy walut'!C:E,3,0)</f>
        <v>9.99</v>
      </c>
      <c r="N13" s="52" t="s">
        <v>85</v>
      </c>
    </row>
    <row r="14" spans="1:14" ht="15.75" customHeight="1" x14ac:dyDescent="0.15">
      <c r="A14" s="52" t="s">
        <v>33</v>
      </c>
      <c r="B14" s="14" t="str">
        <f ca="1">VLOOKUP(A14,'Country Names'!$1:$1000,2,0)</f>
        <v>Spain</v>
      </c>
      <c r="C14" s="176">
        <v>9.99</v>
      </c>
      <c r="D14" s="14" t="s">
        <v>85</v>
      </c>
      <c r="E14" s="14" t="str">
        <f>VLOOKUP(A14,'Kursy walut'!A:E,3,0)</f>
        <v>EUR</v>
      </c>
      <c r="G14" s="52" t="s">
        <v>33</v>
      </c>
      <c r="H14" s="14" t="str">
        <f ca="1">VLOOKUP(G14,'Country Names'!$1:$1000,2,0)</f>
        <v>Spain</v>
      </c>
      <c r="I14" s="174">
        <f>IF(D14="USD",C14*VLOOKUP(J14,'Kursy walut'!C:E,2,0),IF(D14="EUR",C14*VLOOKUP(J14,'Kursy walut'!C:E,3,0),C14))</f>
        <v>9.99</v>
      </c>
      <c r="J14" s="14" t="str">
        <f>VLOOKUP(A14,'Kursy walut'!A:E,3,0)</f>
        <v>EUR</v>
      </c>
      <c r="K14" s="165">
        <f>C14/VLOOKUP(D14,'Kursy walut'!C:E,2,0)</f>
        <v>9.7720825589357343</v>
      </c>
      <c r="L14" s="52" t="s">
        <v>86</v>
      </c>
      <c r="M14" s="165">
        <f>C14/VLOOKUP(D14,'Kursy walut'!C:E,3,0)</f>
        <v>9.99</v>
      </c>
      <c r="N14" s="52" t="s">
        <v>85</v>
      </c>
    </row>
    <row r="15" spans="1:14" ht="15.75" customHeight="1" x14ac:dyDescent="0.15">
      <c r="A15" s="52" t="s">
        <v>84</v>
      </c>
      <c r="B15" s="14" t="str">
        <f ca="1">VLOOKUP(A15,'Country Names'!$1:$1000,2,0)</f>
        <v>Turkey</v>
      </c>
      <c r="C15" s="176">
        <v>29.99</v>
      </c>
      <c r="D15" s="14" t="s">
        <v>182</v>
      </c>
      <c r="E15" s="14" t="str">
        <f>VLOOKUP(A15,'Kursy walut'!A:E,3,0)</f>
        <v>TRY</v>
      </c>
      <c r="G15" s="52" t="s">
        <v>84</v>
      </c>
      <c r="H15" s="14" t="str">
        <f ca="1">VLOOKUP(G15,'Country Names'!$1:$1000,2,0)</f>
        <v>Turkey</v>
      </c>
      <c r="I15" s="174">
        <f>IF(D15="USD",C15*VLOOKUP(J15,'Kursy walut'!C:E,2,0),IF(D15="EUR",C15*VLOOKUP(J15,'Kursy walut'!C:E,3,0),C15))</f>
        <v>29.99</v>
      </c>
      <c r="J15" s="14" t="str">
        <f>VLOOKUP(A15,'Kursy walut'!A:E,3,0)</f>
        <v>TRY</v>
      </c>
      <c r="K15" s="165">
        <f>C15/VLOOKUP(D15,'Kursy walut'!C:E,2,0)</f>
        <v>1.6159188753764997</v>
      </c>
      <c r="L15" s="52" t="s">
        <v>86</v>
      </c>
      <c r="M15" s="165">
        <f>C15/VLOOKUP(D15,'Kursy walut'!C:E,3,0)</f>
        <v>1.6510771365180383</v>
      </c>
      <c r="N15" s="52" t="s">
        <v>85</v>
      </c>
    </row>
    <row r="16" spans="1:14" ht="15.75" customHeight="1" x14ac:dyDescent="0.15">
      <c r="A16" s="52" t="s">
        <v>62</v>
      </c>
      <c r="B16" s="14" t="str">
        <f ca="1">VLOOKUP(A16,'Country Names'!$1:$1000,2,0)</f>
        <v>Ukraine</v>
      </c>
      <c r="C16" s="177">
        <v>9.99</v>
      </c>
      <c r="D16" s="14" t="s">
        <v>85</v>
      </c>
      <c r="E16" s="14" t="str">
        <f>VLOOKUP(A16,'Kursy walut'!A:E,3,0)</f>
        <v>UAH</v>
      </c>
      <c r="G16" s="52" t="s">
        <v>62</v>
      </c>
      <c r="H16" s="14" t="str">
        <f ca="1">VLOOKUP(G16,'Country Names'!$1:$1000,2,0)</f>
        <v>Ukraine</v>
      </c>
      <c r="I16" s="174">
        <f>IF(D16="USD",C16*VLOOKUP(J16,'Kursy walut'!C:E,2,0),IF(D16="EUR",C16*VLOOKUP(J16,'Kursy walut'!C:E,3,0),C16))</f>
        <v>360.82581299999998</v>
      </c>
      <c r="J16" s="14" t="str">
        <f>VLOOKUP(A16,'Kursy walut'!A:E,3,0)</f>
        <v>UAH</v>
      </c>
      <c r="K16" s="165">
        <f>C16/VLOOKUP(D16,'Kursy walut'!C:E,2,0)</f>
        <v>9.7720825589357343</v>
      </c>
      <c r="L16" s="52" t="s">
        <v>86</v>
      </c>
      <c r="M16" s="165">
        <f>C16/VLOOKUP(D16,'Kursy walut'!C:E,3,0)</f>
        <v>9.99</v>
      </c>
      <c r="N16" s="52" t="s">
        <v>85</v>
      </c>
    </row>
    <row r="17" spans="1:14" ht="15.75" customHeight="1" x14ac:dyDescent="0.15">
      <c r="A17" s="52" t="s">
        <v>75</v>
      </c>
      <c r="B17" s="14" t="str">
        <f ca="1">VLOOKUP(A17,'Country Names'!$1:$1000,2,0)</f>
        <v>South Africa</v>
      </c>
      <c r="C17" s="176">
        <v>79</v>
      </c>
      <c r="D17" s="14" t="s">
        <v>171</v>
      </c>
      <c r="E17" s="14" t="str">
        <f>VLOOKUP(A17,'Kursy walut'!A:E,3,0)</f>
        <v>ZAR</v>
      </c>
      <c r="G17" s="52" t="s">
        <v>75</v>
      </c>
      <c r="H17" s="14" t="str">
        <f ca="1">VLOOKUP(G17,'Country Names'!$1:$1000,2,0)</f>
        <v>South Africa</v>
      </c>
      <c r="I17" s="174">
        <f>IF(D17="USD",C17*VLOOKUP(J17,'Kursy walut'!C:E,2,0),IF(D17="EUR",C17*VLOOKUP(J17,'Kursy walut'!C:E,3,0),C17))</f>
        <v>79</v>
      </c>
      <c r="J17" s="14" t="str">
        <f>VLOOKUP(A17,'Kursy walut'!A:E,3,0)</f>
        <v>ZAR</v>
      </c>
      <c r="K17" s="165">
        <f>C17/VLOOKUP(D17,'Kursy walut'!C:E,2,0)</f>
        <v>4.3773375813824629</v>
      </c>
      <c r="L17" s="52" t="s">
        <v>86</v>
      </c>
      <c r="M17" s="165">
        <f>C17/VLOOKUP(D17,'Kursy walut'!C:E,3,0)</f>
        <v>4.4693875241856098</v>
      </c>
      <c r="N17" s="52" t="s">
        <v>85</v>
      </c>
    </row>
    <row r="18" spans="1:14" ht="15.75" customHeight="1" x14ac:dyDescent="0.15">
      <c r="A18" s="52" t="s">
        <v>73</v>
      </c>
      <c r="B18" s="14" t="str">
        <f ca="1">VLOOKUP(A18,'Country Names'!$1:$1000,2,0)</f>
        <v>Malaysia</v>
      </c>
      <c r="C18" s="176">
        <v>15</v>
      </c>
      <c r="D18" s="14" t="s">
        <v>137</v>
      </c>
      <c r="E18" s="14" t="str">
        <f>VLOOKUP(A18,'Kursy walut'!A:E,3,0)</f>
        <v>MYR</v>
      </c>
      <c r="G18" s="52" t="s">
        <v>73</v>
      </c>
      <c r="H18" s="14" t="str">
        <f ca="1">VLOOKUP(G18,'Country Names'!$1:$1000,2,0)</f>
        <v>Malaysia</v>
      </c>
      <c r="I18" s="174">
        <f>IF(D18="USD",C18*VLOOKUP(J18,'Kursy walut'!C:E,2,0),IF(D18="EUR",C18*VLOOKUP(J18,'Kursy walut'!C:E,3,0),C18))</f>
        <v>15</v>
      </c>
      <c r="J18" s="14" t="str">
        <f>VLOOKUP(A18,'Kursy walut'!A:E,3,0)</f>
        <v>MYR</v>
      </c>
      <c r="K18" s="165">
        <f>C18/VLOOKUP(D18,'Kursy walut'!C:E,2,0)</f>
        <v>3.2239344896511701</v>
      </c>
      <c r="L18" s="52" t="s">
        <v>86</v>
      </c>
      <c r="M18" s="165">
        <f>C18/VLOOKUP(D18,'Kursy walut'!C:E,3,0)</f>
        <v>3.2721085467475239</v>
      </c>
      <c r="N18" s="52" t="s">
        <v>85</v>
      </c>
    </row>
    <row r="19" spans="1:14" ht="15.75" customHeight="1" x14ac:dyDescent="0.15">
      <c r="A19" s="52" t="s">
        <v>66</v>
      </c>
      <c r="B19" s="14" t="str">
        <f ca="1">VLOOKUP(A19,'Country Names'!$1:$1000,2,0)</f>
        <v>Nigeria</v>
      </c>
      <c r="C19" s="181">
        <v>9.99</v>
      </c>
      <c r="D19" s="52" t="s">
        <v>86</v>
      </c>
      <c r="E19" s="14" t="str">
        <f>VLOOKUP(A19,'Kursy walut'!A:E,3,0)</f>
        <v>NGN</v>
      </c>
      <c r="G19" s="52" t="s">
        <v>66</v>
      </c>
      <c r="H19" s="14" t="str">
        <f ca="1">VLOOKUP(G19,'Country Names'!$1:$1000,2,0)</f>
        <v>Nigeria</v>
      </c>
      <c r="I19" s="174">
        <f>IF(D19="USD",C19*VLOOKUP(J19,'Kursy walut'!C:E,2,0),IF(D19="EUR",C19*VLOOKUP(J19,'Kursy walut'!C:E,3,0),C19))</f>
        <v>4318.6640129999996</v>
      </c>
      <c r="J19" s="14" t="str">
        <f>VLOOKUP(A19,'Kursy walut'!A:E,3,0)</f>
        <v>NGN</v>
      </c>
      <c r="K19" s="165">
        <f>C19/VLOOKUP(D19,'Kursy walut'!C:E,2,0)</f>
        <v>9.99</v>
      </c>
      <c r="L19" s="52" t="s">
        <v>86</v>
      </c>
      <c r="M19" s="165">
        <f>C19/VLOOKUP(D19,'Kursy walut'!C:E,3,0)</f>
        <v>10.212635452872624</v>
      </c>
      <c r="N19" s="52" t="s">
        <v>85</v>
      </c>
    </row>
    <row r="20" spans="1:14" ht="15.75" customHeight="1" x14ac:dyDescent="0.15">
      <c r="A20" s="52" t="s">
        <v>81</v>
      </c>
      <c r="B20" s="14" t="str">
        <f ca="1">VLOOKUP(A20,'Country Names'!$1:$1000,2,0)</f>
        <v>Philippines</v>
      </c>
      <c r="C20" s="176">
        <v>119</v>
      </c>
      <c r="D20" s="14" t="s">
        <v>157</v>
      </c>
      <c r="E20" s="14" t="str">
        <f>VLOOKUP(A20,'Kursy walut'!A:E,3,0)</f>
        <v>PHP</v>
      </c>
      <c r="G20" s="52" t="s">
        <v>81</v>
      </c>
      <c r="H20" s="14" t="str">
        <f ca="1">VLOOKUP(G20,'Country Names'!$1:$1000,2,0)</f>
        <v>Philippines</v>
      </c>
      <c r="I20" s="174">
        <f>IF(D20="USD",C20*VLOOKUP(J20,'Kursy walut'!C:E,2,0),IF(D20="EUR",C20*VLOOKUP(J20,'Kursy walut'!C:E,3,0),C20))</f>
        <v>119</v>
      </c>
      <c r="J20" s="14" t="str">
        <f>VLOOKUP(A20,'Kursy walut'!A:E,3,0)</f>
        <v>PHP</v>
      </c>
      <c r="K20" s="165">
        <f>C20/VLOOKUP(D20,'Kursy walut'!C:E,2,0)</f>
        <v>2.0179683975974307</v>
      </c>
      <c r="L20" s="52" t="s">
        <v>86</v>
      </c>
      <c r="M20" s="165">
        <f>C20/VLOOKUP(D20,'Kursy walut'!C:E,3,0)</f>
        <v>2.0649039212351941</v>
      </c>
      <c r="N20" s="52" t="s">
        <v>85</v>
      </c>
    </row>
    <row r="21" spans="1:14" ht="15.75" customHeight="1" x14ac:dyDescent="0.15">
      <c r="A21" s="52" t="s">
        <v>74</v>
      </c>
      <c r="B21" s="14" t="str">
        <f ca="1">VLOOKUP(A21,'Country Names'!$1:$1000,2,0)</f>
        <v>Pakistan</v>
      </c>
      <c r="C21" s="181">
        <v>9.99</v>
      </c>
      <c r="D21" s="52" t="s">
        <v>86</v>
      </c>
      <c r="E21" s="14" t="str">
        <f>VLOOKUP(A21,'Kursy walut'!A:E,3,0)</f>
        <v>PKR</v>
      </c>
      <c r="G21" s="52" t="s">
        <v>74</v>
      </c>
      <c r="H21" s="14" t="str">
        <f ca="1">VLOOKUP(G21,'Country Names'!$1:$1000,2,0)</f>
        <v>Pakistan</v>
      </c>
      <c r="I21" s="174">
        <f>IF(D21="USD",C21*VLOOKUP(J21,'Kursy walut'!C:E,2,0),IF(D21="EUR",C21*VLOOKUP(J21,'Kursy walut'!C:E,3,0),C21))</f>
        <v>2225.7460260000003</v>
      </c>
      <c r="J21" s="14" t="str">
        <f>VLOOKUP(A21,'Kursy walut'!A:E,3,0)</f>
        <v>PKR</v>
      </c>
      <c r="K21" s="165">
        <f>C21/VLOOKUP(D21,'Kursy walut'!C:E,2,0)</f>
        <v>9.99</v>
      </c>
      <c r="L21" s="52" t="s">
        <v>86</v>
      </c>
      <c r="M21" s="165">
        <f>C21/VLOOKUP(D21,'Kursy walut'!C:E,3,0)</f>
        <v>10.212635452872624</v>
      </c>
      <c r="N21" s="52" t="s">
        <v>85</v>
      </c>
    </row>
    <row r="22" spans="1:14" ht="15.75" customHeight="1" x14ac:dyDescent="0.15">
      <c r="A22" s="52" t="s">
        <v>79</v>
      </c>
      <c r="B22" s="14" t="str">
        <f ca="1">VLOOKUP(A22,'Country Names'!$1:$1000,2,0)</f>
        <v>Vietnam</v>
      </c>
      <c r="C22" s="176">
        <v>59000</v>
      </c>
      <c r="D22" s="14" t="s">
        <v>191</v>
      </c>
      <c r="E22" s="14" t="str">
        <f>VLOOKUP(A22,'Kursy walut'!A:E,3,0)</f>
        <v>VND</v>
      </c>
      <c r="G22" s="52" t="s">
        <v>79</v>
      </c>
      <c r="H22" s="14" t="str">
        <f ca="1">VLOOKUP(G22,'Country Names'!$1:$1000,2,0)</f>
        <v>Vietnam</v>
      </c>
      <c r="I22" s="174">
        <f>IF(D22="USD",C22*VLOOKUP(J22,'Kursy walut'!C:E,2,0),IF(D22="EUR",C22*VLOOKUP(J22,'Kursy walut'!C:E,3,0),C22))</f>
        <v>59000</v>
      </c>
      <c r="J22" s="14" t="str">
        <f>VLOOKUP(A22,'Kursy walut'!A:E,3,0)</f>
        <v>VND</v>
      </c>
      <c r="K22" s="165">
        <f>C22/VLOOKUP(D22,'Kursy walut'!C:E,2,0)</f>
        <v>2.4663317808917364</v>
      </c>
      <c r="L22" s="52" t="s">
        <v>86</v>
      </c>
      <c r="M22" s="165">
        <f>C22/VLOOKUP(D22,'Kursy walut'!C:E,3,0)</f>
        <v>2.5210945859438216</v>
      </c>
      <c r="N22" s="52" t="s">
        <v>85</v>
      </c>
    </row>
    <row r="23" spans="1:14" ht="15.75" customHeight="1" x14ac:dyDescent="0.15">
      <c r="A23" s="52" t="s">
        <v>82</v>
      </c>
      <c r="B23" s="14" t="str">
        <f ca="1">VLOOKUP(A23,'Country Names'!$1:$1000,2,0)</f>
        <v>India</v>
      </c>
      <c r="C23" s="176">
        <v>349</v>
      </c>
      <c r="D23" s="14" t="s">
        <v>123</v>
      </c>
      <c r="E23" s="14" t="str">
        <f>VLOOKUP(A23,'Kursy walut'!A:E,3,0)</f>
        <v>INR</v>
      </c>
      <c r="G23" s="52" t="s">
        <v>82</v>
      </c>
      <c r="H23" s="14" t="str">
        <f ca="1">VLOOKUP(G23,'Country Names'!$1:$1000,2,0)</f>
        <v>India</v>
      </c>
      <c r="I23" s="174">
        <f>IF(D23="USD",C23*VLOOKUP(J23,'Kursy walut'!C:E,2,0),IF(D23="EUR",C23*VLOOKUP(J23,'Kursy walut'!C:E,3,0),C23))</f>
        <v>349</v>
      </c>
      <c r="J23" s="14" t="str">
        <f>VLOOKUP(A23,'Kursy walut'!A:E,3,0)</f>
        <v>INR</v>
      </c>
      <c r="K23" s="165">
        <f>C23/VLOOKUP(D23,'Kursy walut'!C:E,2,0)</f>
        <v>4.2500127865714203</v>
      </c>
      <c r="L23" s="52" t="s">
        <v>86</v>
      </c>
      <c r="M23" s="165">
        <f>C23/VLOOKUP(D23,'Kursy walut'!C:E,3,0)</f>
        <v>4.3450762442605146</v>
      </c>
      <c r="N23" s="52" t="s">
        <v>85</v>
      </c>
    </row>
    <row r="24" spans="1:14" ht="15.75" customHeight="1" x14ac:dyDescent="0.15">
      <c r="A24" s="52" t="s">
        <v>40</v>
      </c>
      <c r="B24" s="14" t="str">
        <f ca="1">VLOOKUP(A24,'Country Names'!$1:$1000,2,0)</f>
        <v>Greece</v>
      </c>
      <c r="C24" s="176">
        <v>9.99</v>
      </c>
      <c r="D24" s="14" t="s">
        <v>85</v>
      </c>
      <c r="E24" s="14" t="str">
        <f>VLOOKUP(A24,'Kursy walut'!A:E,3,0)</f>
        <v>EUR</v>
      </c>
      <c r="G24" s="52" t="s">
        <v>40</v>
      </c>
      <c r="H24" s="14" t="str">
        <f ca="1">VLOOKUP(G24,'Country Names'!$1:$1000,2,0)</f>
        <v>Greece</v>
      </c>
      <c r="I24" s="174">
        <f>IF(D24="USD",C24*VLOOKUP(J24,'Kursy walut'!C:E,2,0),IF(D24="EUR",C24*VLOOKUP(J24,'Kursy walut'!C:E,3,0),C24))</f>
        <v>9.99</v>
      </c>
      <c r="J24" s="14" t="str">
        <f>VLOOKUP(A24,'Kursy walut'!A:E,3,0)</f>
        <v>EUR</v>
      </c>
      <c r="K24" s="165">
        <f>C24/VLOOKUP(D24,'Kursy walut'!C:E,2,0)</f>
        <v>9.7720825589357343</v>
      </c>
      <c r="L24" s="52" t="s">
        <v>86</v>
      </c>
      <c r="M24" s="165">
        <f>C24/VLOOKUP(D24,'Kursy walut'!C:E,3,0)</f>
        <v>9.99</v>
      </c>
      <c r="N24" s="52" t="s">
        <v>85</v>
      </c>
    </row>
    <row r="25" spans="1:14" ht="15.75" customHeight="1" x14ac:dyDescent="0.15">
      <c r="A25" s="52" t="s">
        <v>78</v>
      </c>
      <c r="B25" s="14" t="str">
        <f ca="1">VLOOKUP(A25,'Country Names'!$1:$1000,2,0)</f>
        <v>Thailand</v>
      </c>
      <c r="C25" s="176">
        <v>99</v>
      </c>
      <c r="D25" s="14" t="s">
        <v>180</v>
      </c>
      <c r="E25" s="14" t="str">
        <f>VLOOKUP(A25,'Kursy walut'!A:E,3,0)</f>
        <v>THB</v>
      </c>
      <c r="G25" s="52" t="s">
        <v>78</v>
      </c>
      <c r="H25" s="14" t="str">
        <f ca="1">VLOOKUP(G25,'Country Names'!$1:$1000,2,0)</f>
        <v>Thailand</v>
      </c>
      <c r="I25" s="174">
        <f>IF(D25="USD",C25*VLOOKUP(J25,'Kursy walut'!C:E,2,0),IF(D25="EUR",C25*VLOOKUP(J25,'Kursy walut'!C:E,3,0),C25))</f>
        <v>99</v>
      </c>
      <c r="J25" s="14" t="str">
        <f>VLOOKUP(A25,'Kursy walut'!A:E,3,0)</f>
        <v>THB</v>
      </c>
      <c r="K25" s="165">
        <f>C25/VLOOKUP(D25,'Kursy walut'!C:E,2,0)</f>
        <v>2.6216623457787263</v>
      </c>
      <c r="L25" s="52" t="s">
        <v>86</v>
      </c>
      <c r="M25" s="165">
        <f>C25/VLOOKUP(D25,'Kursy walut'!C:E,3,0)</f>
        <v>2.6801377428367226</v>
      </c>
      <c r="N25" s="52" t="s">
        <v>85</v>
      </c>
    </row>
    <row r="26" spans="1:14" ht="15.75" customHeight="1" x14ac:dyDescent="0.15">
      <c r="A26" s="52" t="s">
        <v>32</v>
      </c>
      <c r="B26" s="14" t="str">
        <f ca="1">VLOOKUP(A26,'Country Names'!$1:$1000,2,0)</f>
        <v>Finland</v>
      </c>
      <c r="C26" s="176">
        <v>9.99</v>
      </c>
      <c r="D26" s="14" t="s">
        <v>85</v>
      </c>
      <c r="E26" s="14" t="str">
        <f>VLOOKUP(A26,'Kursy walut'!A:E,3,0)</f>
        <v>EUR</v>
      </c>
      <c r="G26" s="52" t="s">
        <v>32</v>
      </c>
      <c r="H26" s="14" t="str">
        <f ca="1">VLOOKUP(G26,'Country Names'!$1:$1000,2,0)</f>
        <v>Finland</v>
      </c>
      <c r="I26" s="174">
        <f>IF(D26="USD",C26*VLOOKUP(J26,'Kursy walut'!C:E,2,0),IF(D26="EUR",C26*VLOOKUP(J26,'Kursy walut'!C:E,3,0),C26))</f>
        <v>9.99</v>
      </c>
      <c r="J26" s="14" t="str">
        <f>VLOOKUP(A26,'Kursy walut'!A:E,3,0)</f>
        <v>EUR</v>
      </c>
      <c r="K26" s="165">
        <f>C26/VLOOKUP(D26,'Kursy walut'!C:E,2,0)</f>
        <v>9.7720825589357343</v>
      </c>
      <c r="L26" s="52" t="s">
        <v>86</v>
      </c>
      <c r="M26" s="165">
        <f>C26/VLOOKUP(D26,'Kursy walut'!C:E,3,0)</f>
        <v>9.99</v>
      </c>
      <c r="N26" s="52" t="s">
        <v>85</v>
      </c>
    </row>
    <row r="27" spans="1:14" ht="15.75" customHeight="1" x14ac:dyDescent="0.15">
      <c r="A27" s="52" t="s">
        <v>29</v>
      </c>
      <c r="B27" s="14" t="str">
        <f ca="1">VLOOKUP(A27,'Country Names'!$1:$1000,2,0)</f>
        <v>Germany</v>
      </c>
      <c r="C27" s="176">
        <v>9.99</v>
      </c>
      <c r="D27" s="14" t="s">
        <v>85</v>
      </c>
      <c r="E27" s="14" t="str">
        <f>VLOOKUP(A27,'Kursy walut'!A:E,3,0)</f>
        <v>EUR</v>
      </c>
      <c r="G27" s="52" t="s">
        <v>29</v>
      </c>
      <c r="H27" s="14" t="str">
        <f ca="1">VLOOKUP(G27,'Country Names'!$1:$1000,2,0)</f>
        <v>Germany</v>
      </c>
      <c r="I27" s="174">
        <f>IF(D27="USD",C27*VLOOKUP(J27,'Kursy walut'!C:E,2,0),IF(D27="EUR",C27*VLOOKUP(J27,'Kursy walut'!C:E,3,0),C27))</f>
        <v>9.99</v>
      </c>
      <c r="J27" s="14" t="str">
        <f>VLOOKUP(A27,'Kursy walut'!A:E,3,0)</f>
        <v>EUR</v>
      </c>
      <c r="K27" s="165">
        <f>C27/VLOOKUP(D27,'Kursy walut'!C:E,2,0)</f>
        <v>9.7720825589357343</v>
      </c>
      <c r="L27" s="52" t="s">
        <v>86</v>
      </c>
      <c r="M27" s="165">
        <f>C27/VLOOKUP(D27,'Kursy walut'!C:E,3,0)</f>
        <v>9.99</v>
      </c>
      <c r="N27" s="52" t="s">
        <v>85</v>
      </c>
    </row>
    <row r="28" spans="1:14" ht="15.75" customHeight="1" x14ac:dyDescent="0.15">
      <c r="A28" s="52" t="s">
        <v>34</v>
      </c>
      <c r="B28" s="14" t="str">
        <f ca="1">VLOOKUP(A28,'Country Names'!$1:$1000,2,0)</f>
        <v>Italy</v>
      </c>
      <c r="C28" s="176">
        <v>9.99</v>
      </c>
      <c r="D28" s="14" t="s">
        <v>85</v>
      </c>
      <c r="E28" s="14" t="str">
        <f>VLOOKUP(A28,'Kursy walut'!A:E,3,0)</f>
        <v>EUR</v>
      </c>
      <c r="G28" s="52" t="s">
        <v>34</v>
      </c>
      <c r="H28" s="14" t="str">
        <f ca="1">VLOOKUP(G28,'Country Names'!$1:$1000,2,0)</f>
        <v>Italy</v>
      </c>
      <c r="I28" s="174">
        <f>IF(D28="USD",C28*VLOOKUP(J28,'Kursy walut'!C:E,2,0),IF(D28="EUR",C28*VLOOKUP(J28,'Kursy walut'!C:E,3,0),C28))</f>
        <v>9.99</v>
      </c>
      <c r="J28" s="14" t="str">
        <f>VLOOKUP(A28,'Kursy walut'!A:E,3,0)</f>
        <v>EUR</v>
      </c>
      <c r="K28" s="165">
        <f>C28/VLOOKUP(D28,'Kursy walut'!C:E,2,0)</f>
        <v>9.7720825589357343</v>
      </c>
      <c r="L28" s="52" t="s">
        <v>86</v>
      </c>
      <c r="M28" s="165">
        <f>C28/VLOOKUP(D28,'Kursy walut'!C:E,3,0)</f>
        <v>9.99</v>
      </c>
      <c r="N28" s="52" t="s">
        <v>85</v>
      </c>
    </row>
    <row r="29" spans="1:14" ht="15.75" customHeight="1" x14ac:dyDescent="0.15">
      <c r="A29" s="52" t="s">
        <v>65</v>
      </c>
      <c r="B29" s="14" t="str">
        <f ca="1">VLOOKUP(A29,'Country Names'!$1:$1000,2,0)</f>
        <v>Hong Kong</v>
      </c>
      <c r="C29" s="176">
        <v>29</v>
      </c>
      <c r="D29" s="14" t="s">
        <v>119</v>
      </c>
      <c r="E29" s="14" t="str">
        <f>VLOOKUP(A29,'Kursy walut'!A:E,3,0)</f>
        <v>HKD</v>
      </c>
      <c r="G29" s="52" t="s">
        <v>65</v>
      </c>
      <c r="H29" s="14" t="str">
        <f ca="1">VLOOKUP(G29,'Country Names'!$1:$1000,2,0)</f>
        <v>Hong Kong</v>
      </c>
      <c r="I29" s="174">
        <f>IF(D29="USD",C29*VLOOKUP(J29,'Kursy walut'!C:E,2,0),IF(D29="EUR",C29*VLOOKUP(J29,'Kursy walut'!C:E,3,0),C29))</f>
        <v>29</v>
      </c>
      <c r="J29" s="14" t="str">
        <f>VLOOKUP(A29,'Kursy walut'!A:E,3,0)</f>
        <v>HKD</v>
      </c>
      <c r="K29" s="165">
        <f>C29/VLOOKUP(D29,'Kursy walut'!C:E,2,0)</f>
        <v>3.6943145772557613</v>
      </c>
      <c r="L29" s="52" t="s">
        <v>86</v>
      </c>
      <c r="M29" s="165">
        <f>C29/VLOOKUP(D29,'Kursy walut'!C:E,3,0)</f>
        <v>3.7767301330971792</v>
      </c>
      <c r="N29" s="52" t="s">
        <v>85</v>
      </c>
    </row>
    <row r="30" spans="1:14" ht="15.75" customHeight="1" x14ac:dyDescent="0.15">
      <c r="A30" s="52" t="s">
        <v>27</v>
      </c>
      <c r="B30" s="14" t="str">
        <f ca="1">VLOOKUP(A30,'Country Names'!$1:$1000,2,0)</f>
        <v>United Kingdom</v>
      </c>
      <c r="C30" s="176">
        <v>7.99</v>
      </c>
      <c r="D30" s="14" t="s">
        <v>188</v>
      </c>
      <c r="E30" s="14" t="str">
        <f>VLOOKUP(A30,'Kursy walut'!A:E,3,0)</f>
        <v>GBP</v>
      </c>
      <c r="G30" s="52" t="s">
        <v>27</v>
      </c>
      <c r="H30" s="14" t="str">
        <f ca="1">VLOOKUP(G30,'Country Names'!$1:$1000,2,0)</f>
        <v>United Kingdom</v>
      </c>
      <c r="I30" s="174">
        <f>IF(D30="USD",C30*VLOOKUP(J30,'Kursy walut'!C:E,2,0),IF(D30="EUR",C30*VLOOKUP(J30,'Kursy walut'!C:E,3,0),C30))</f>
        <v>7.99</v>
      </c>
      <c r="J30" s="14" t="str">
        <f>VLOOKUP(A30,'Kursy walut'!A:E,3,0)</f>
        <v>GBP</v>
      </c>
      <c r="K30" s="165">
        <f>C30/VLOOKUP(D30,'Kursy walut'!C:E,2,0)</f>
        <v>8.9263769411238965</v>
      </c>
      <c r="L30" s="52" t="s">
        <v>86</v>
      </c>
      <c r="M30" s="165">
        <f>C30/VLOOKUP(D30,'Kursy walut'!C:E,3,0)</f>
        <v>9.064095292115713</v>
      </c>
      <c r="N30" s="52" t="s">
        <v>85</v>
      </c>
    </row>
    <row r="31" spans="1:14" ht="15.75" customHeight="1" x14ac:dyDescent="0.15">
      <c r="A31" s="52" t="s">
        <v>63</v>
      </c>
      <c r="B31" s="14" t="str">
        <f ca="1">VLOOKUP(A31,'Country Names'!$1:$1000,2,0)</f>
        <v>Peru</v>
      </c>
      <c r="C31" s="181">
        <v>9.99</v>
      </c>
      <c r="D31" s="52" t="s">
        <v>86</v>
      </c>
      <c r="E31" s="14" t="str">
        <f>VLOOKUP(A31,'Kursy walut'!A:E,3,0)</f>
        <v>PEN</v>
      </c>
      <c r="G31" s="52" t="s">
        <v>63</v>
      </c>
      <c r="H31" s="14" t="str">
        <f ca="1">VLOOKUP(G31,'Country Names'!$1:$1000,2,0)</f>
        <v>Peru</v>
      </c>
      <c r="I31" s="174">
        <f>IF(D31="USD",C31*VLOOKUP(J31,'Kursy walut'!C:E,2,0),IF(D31="EUR",C31*VLOOKUP(J31,'Kursy walut'!C:E,3,0),C31))</f>
        <v>39.703257000000001</v>
      </c>
      <c r="J31" s="14" t="str">
        <f>VLOOKUP(A31,'Kursy walut'!A:E,3,0)</f>
        <v>PEN</v>
      </c>
      <c r="K31" s="165">
        <f>C31/VLOOKUP(D31,'Kursy walut'!C:E,2,0)</f>
        <v>9.99</v>
      </c>
      <c r="L31" s="52" t="s">
        <v>86</v>
      </c>
      <c r="M31" s="165">
        <f>C31/VLOOKUP(D31,'Kursy walut'!C:E,3,0)</f>
        <v>10.212635452872624</v>
      </c>
      <c r="N31" s="52" t="s">
        <v>85</v>
      </c>
    </row>
    <row r="32" spans="1:14" ht="15.75" customHeight="1" x14ac:dyDescent="0.15">
      <c r="A32" s="52" t="s">
        <v>45</v>
      </c>
      <c r="B32" s="14" t="str">
        <f ca="1">VLOOKUP(A32,'Country Names'!$1:$1000,2,0)</f>
        <v>Portugal</v>
      </c>
      <c r="C32" s="176">
        <v>9.99</v>
      </c>
      <c r="D32" s="14" t="s">
        <v>85</v>
      </c>
      <c r="E32" s="14" t="str">
        <f>VLOOKUP(A32,'Kursy walut'!A:E,3,0)</f>
        <v>EUR</v>
      </c>
      <c r="G32" s="52" t="s">
        <v>45</v>
      </c>
      <c r="H32" s="14" t="str">
        <f ca="1">VLOOKUP(G32,'Country Names'!$1:$1000,2,0)</f>
        <v>Portugal</v>
      </c>
      <c r="I32" s="174">
        <f>IF(D32="USD",C32*VLOOKUP(J32,'Kursy walut'!C:E,2,0),IF(D32="EUR",C32*VLOOKUP(J32,'Kursy walut'!C:E,3,0),C32))</f>
        <v>9.99</v>
      </c>
      <c r="J32" s="14" t="str">
        <f>VLOOKUP(A32,'Kursy walut'!A:E,3,0)</f>
        <v>EUR</v>
      </c>
      <c r="K32" s="165">
        <f>C32/VLOOKUP(D32,'Kursy walut'!C:E,2,0)</f>
        <v>9.7720825589357343</v>
      </c>
      <c r="L32" s="52" t="s">
        <v>86</v>
      </c>
      <c r="M32" s="165">
        <f>C32/VLOOKUP(D32,'Kursy walut'!C:E,3,0)</f>
        <v>9.99</v>
      </c>
      <c r="N32" s="52" t="s">
        <v>85</v>
      </c>
    </row>
    <row r="33" spans="1:14" ht="15.75" customHeight="1" x14ac:dyDescent="0.15">
      <c r="A33" s="52" t="s">
        <v>69</v>
      </c>
      <c r="B33" s="14" t="str">
        <f ca="1">VLOOKUP(A33,'Country Names'!$1:$1000,2,0)</f>
        <v>UAE</v>
      </c>
      <c r="C33" s="176">
        <v>6.99</v>
      </c>
      <c r="D33" s="14" t="s">
        <v>184</v>
      </c>
      <c r="E33" s="14" t="str">
        <f>VLOOKUP(A33,'Kursy walut'!A:E,3,0)</f>
        <v>AED</v>
      </c>
      <c r="G33" s="52" t="s">
        <v>69</v>
      </c>
      <c r="H33" s="14" t="str">
        <f ca="1">VLOOKUP(G33,'Country Names'!$1:$1000,2,0)</f>
        <v>UAE</v>
      </c>
      <c r="I33" s="174">
        <f>IF(D33="USD",C33*VLOOKUP(J33,'Kursy walut'!C:E,2,0),IF(D33="EUR",C33*VLOOKUP(J33,'Kursy walut'!C:E,3,0),C33))</f>
        <v>6.99</v>
      </c>
      <c r="J33" s="14" t="str">
        <f>VLOOKUP(A33,'Kursy walut'!A:E,3,0)</f>
        <v>AED</v>
      </c>
      <c r="K33" s="165">
        <f>C33/VLOOKUP(D33,'Kursy walut'!C:E,2,0)</f>
        <v>1.9030246930385779</v>
      </c>
      <c r="L33" s="52" t="s">
        <v>86</v>
      </c>
      <c r="M33" s="165">
        <f>C33/VLOOKUP(D33,'Kursy walut'!C:E,3,0)</f>
        <v>1.9437724201217987</v>
      </c>
      <c r="N33" s="52" t="s">
        <v>85</v>
      </c>
    </row>
    <row r="34" spans="1:14" ht="15.75" customHeight="1" x14ac:dyDescent="0.15">
      <c r="A34" s="52" t="s">
        <v>72</v>
      </c>
      <c r="B34" s="14" t="str">
        <f ca="1">VLOOKUP(A34,'Country Names'!$1:$1000,2,0)</f>
        <v>Hungary</v>
      </c>
      <c r="C34" s="176">
        <v>3000</v>
      </c>
      <c r="D34" s="14" t="s">
        <v>121</v>
      </c>
      <c r="E34" s="14" t="str">
        <f>VLOOKUP(A34,'Kursy walut'!A:E,3,0)</f>
        <v>HUF</v>
      </c>
      <c r="G34" s="52" t="s">
        <v>72</v>
      </c>
      <c r="H34" s="14" t="str">
        <f ca="1">VLOOKUP(G34,'Country Names'!$1:$1000,2,0)</f>
        <v>Hungary</v>
      </c>
      <c r="I34" s="174">
        <f>IF(D34="USD",C34*VLOOKUP(J34,'Kursy walut'!C:E,2,0),IF(D34="EUR",C34*VLOOKUP(J34,'Kursy walut'!C:E,3,0),C34))</f>
        <v>3000</v>
      </c>
      <c r="J34" s="14" t="str">
        <f>VLOOKUP(A34,'Kursy walut'!A:E,3,0)</f>
        <v>HUF</v>
      </c>
      <c r="K34" s="165">
        <f>C34/VLOOKUP(D34,'Kursy walut'!C:E,2,0)</f>
        <v>6.9216526599334367</v>
      </c>
      <c r="L34" s="52" t="s">
        <v>86</v>
      </c>
      <c r="M34" s="165">
        <f>C34/VLOOKUP(D34,'Kursy walut'!C:E,3,0)</f>
        <v>7.0772226430548502</v>
      </c>
      <c r="N34" s="52" t="s">
        <v>85</v>
      </c>
    </row>
    <row r="35" spans="1:14" ht="15.75" customHeight="1" x14ac:dyDescent="0.15">
      <c r="A35" s="52" t="s">
        <v>49</v>
      </c>
      <c r="B35" s="14" t="str">
        <f ca="1">VLOOKUP(A35,'Country Names'!$1:$1000,2,0)</f>
        <v>Kazakhstan</v>
      </c>
      <c r="C35" s="177">
        <v>9.99</v>
      </c>
      <c r="D35" s="14" t="s">
        <v>85</v>
      </c>
      <c r="E35" s="14" t="str">
        <f>VLOOKUP(A35,'Kursy walut'!A:E,3,0)</f>
        <v>KZT</v>
      </c>
      <c r="G35" s="52" t="s">
        <v>49</v>
      </c>
      <c r="H35" s="14" t="str">
        <f ca="1">VLOOKUP(G35,'Country Names'!$1:$1000,2,0)</f>
        <v>Kazakhstan</v>
      </c>
      <c r="I35" s="174">
        <f>IF(D35="USD",C35*VLOOKUP(J35,'Kursy walut'!C:E,2,0),IF(D35="EUR",C35*VLOOKUP(J35,'Kursy walut'!C:E,3,0),C35))</f>
        <v>4636.651707</v>
      </c>
      <c r="J35" s="14" t="str">
        <f>VLOOKUP(A35,'Kursy walut'!A:E,3,0)</f>
        <v>KZT</v>
      </c>
      <c r="K35" s="165">
        <f>C35/VLOOKUP(D35,'Kursy walut'!C:E,2,0)</f>
        <v>9.7720825589357343</v>
      </c>
      <c r="L35" s="52" t="s">
        <v>86</v>
      </c>
      <c r="M35" s="165">
        <f>C35/VLOOKUP(D35,'Kursy walut'!C:E,3,0)</f>
        <v>9.99</v>
      </c>
      <c r="N35" s="52" t="s">
        <v>85</v>
      </c>
    </row>
    <row r="36" spans="1:14" ht="15.75" customHeight="1" x14ac:dyDescent="0.15">
      <c r="A36" s="52" t="s">
        <v>64</v>
      </c>
      <c r="B36" s="14" t="str">
        <f ca="1">VLOOKUP(A36,'Country Names'!$1:$1000,2,0)</f>
        <v>Romania</v>
      </c>
      <c r="C36" s="177">
        <v>9.99</v>
      </c>
      <c r="D36" s="14" t="s">
        <v>85</v>
      </c>
      <c r="E36" s="14" t="str">
        <f>VLOOKUP(A36,'Kursy walut'!A:E,3,0)</f>
        <v>RON</v>
      </c>
      <c r="G36" s="52" t="s">
        <v>64</v>
      </c>
      <c r="H36" s="14" t="str">
        <f ca="1">VLOOKUP(G36,'Country Names'!$1:$1000,2,0)</f>
        <v>Romania</v>
      </c>
      <c r="I36" s="174">
        <f>IF(D36="USD",C36*VLOOKUP(J36,'Kursy walut'!C:E,2,0),IF(D36="EUR",C36*VLOOKUP(J36,'Kursy walut'!C:E,3,0),C36))</f>
        <v>49.431519000000002</v>
      </c>
      <c r="J36" s="14" t="str">
        <f>VLOOKUP(A36,'Kursy walut'!A:E,3,0)</f>
        <v>RON</v>
      </c>
      <c r="K36" s="165">
        <f>C36/VLOOKUP(D36,'Kursy walut'!C:E,2,0)</f>
        <v>9.7720825589357343</v>
      </c>
      <c r="L36" s="52" t="s">
        <v>86</v>
      </c>
      <c r="M36" s="165">
        <f>C36/VLOOKUP(D36,'Kursy walut'!C:E,3,0)</f>
        <v>9.99</v>
      </c>
      <c r="N36" s="52" t="s">
        <v>85</v>
      </c>
    </row>
    <row r="37" spans="1:14" ht="15.75" customHeight="1" x14ac:dyDescent="0.15">
      <c r="A37" s="52" t="s">
        <v>59</v>
      </c>
      <c r="B37" s="14" t="str">
        <f ca="1">VLOOKUP(A37,'Country Names'!$1:$1000,2,0)</f>
        <v>Saudi Arabia</v>
      </c>
      <c r="C37" s="176">
        <v>29.99</v>
      </c>
      <c r="D37" s="14" t="s">
        <v>164</v>
      </c>
      <c r="E37" s="14" t="str">
        <f>VLOOKUP(A37,'Kursy walut'!A:E,3,0)</f>
        <v>SAR</v>
      </c>
      <c r="G37" s="52" t="s">
        <v>59</v>
      </c>
      <c r="H37" s="14" t="str">
        <f ca="1">VLOOKUP(G37,'Country Names'!$1:$1000,2,0)</f>
        <v>Saudi Arabia</v>
      </c>
      <c r="I37" s="174">
        <f>IF(D37="USD",C37*VLOOKUP(J37,'Kursy walut'!C:E,2,0),IF(D37="EUR",C37*VLOOKUP(J37,'Kursy walut'!C:E,3,0),C37))</f>
        <v>29.99</v>
      </c>
      <c r="J37" s="14" t="str">
        <f>VLOOKUP(A37,'Kursy walut'!A:E,3,0)</f>
        <v>SAR</v>
      </c>
      <c r="K37" s="165">
        <f>C37/VLOOKUP(D37,'Kursy walut'!C:E,2,0)</f>
        <v>7.9794593444018727</v>
      </c>
      <c r="L37" s="52" t="s">
        <v>86</v>
      </c>
      <c r="M37" s="165">
        <f>C37/VLOOKUP(D37,'Kursy walut'!C:E,3,0)</f>
        <v>8.1554401327060617</v>
      </c>
      <c r="N37" s="52" t="s">
        <v>85</v>
      </c>
    </row>
    <row r="38" spans="1:14" ht="15.75" customHeight="1" x14ac:dyDescent="0.15">
      <c r="A38" s="52" t="s">
        <v>28</v>
      </c>
      <c r="B38" s="14" t="str">
        <f ca="1">VLOOKUP(A38,'Country Names'!$1:$1000,2,0)</f>
        <v>Austria</v>
      </c>
      <c r="C38" s="176">
        <v>9.99</v>
      </c>
      <c r="D38" s="14" t="s">
        <v>85</v>
      </c>
      <c r="E38" s="14" t="str">
        <f>VLOOKUP(A38,'Kursy walut'!A:E,3,0)</f>
        <v>EUR</v>
      </c>
      <c r="G38" s="52" t="s">
        <v>28</v>
      </c>
      <c r="H38" s="14" t="str">
        <f ca="1">VLOOKUP(G38,'Country Names'!$1:$1000,2,0)</f>
        <v>Austria</v>
      </c>
      <c r="I38" s="174">
        <f>IF(D38="USD",C38*VLOOKUP(J38,'Kursy walut'!C:E,2,0),IF(D38="EUR",C38*VLOOKUP(J38,'Kursy walut'!C:E,3,0),C38))</f>
        <v>9.99</v>
      </c>
      <c r="J38" s="14" t="str">
        <f>VLOOKUP(A38,'Kursy walut'!A:E,3,0)</f>
        <v>EUR</v>
      </c>
      <c r="K38" s="165">
        <f>C38/VLOOKUP(D38,'Kursy walut'!C:E,2,0)</f>
        <v>9.7720825589357343</v>
      </c>
      <c r="L38" s="52" t="s">
        <v>86</v>
      </c>
      <c r="M38" s="165">
        <f>C38/VLOOKUP(D38,'Kursy walut'!C:E,3,0)</f>
        <v>9.99</v>
      </c>
      <c r="N38" s="52" t="s">
        <v>85</v>
      </c>
    </row>
    <row r="39" spans="1:14" ht="15.75" customHeight="1" x14ac:dyDescent="0.15">
      <c r="A39" s="52" t="s">
        <v>25</v>
      </c>
      <c r="B39" s="14" t="str">
        <f ca="1">VLOOKUP(A39,'Country Names'!$1:$1000,2,0)</f>
        <v>Switzerland</v>
      </c>
      <c r="C39" s="176">
        <v>11.99</v>
      </c>
      <c r="D39" s="14" t="s">
        <v>178</v>
      </c>
      <c r="E39" s="14" t="str">
        <f>VLOOKUP(A39,'Kursy walut'!A:E,3,0)</f>
        <v>CHF</v>
      </c>
      <c r="G39" s="52" t="s">
        <v>25</v>
      </c>
      <c r="H39" s="14" t="str">
        <f ca="1">VLOOKUP(G39,'Country Names'!$1:$1000,2,0)</f>
        <v>Switzerland</v>
      </c>
      <c r="I39" s="174">
        <f>IF(D39="USD",C39*VLOOKUP(J39,'Kursy walut'!C:E,2,0),IF(D39="EUR",C39*VLOOKUP(J39,'Kursy walut'!C:E,3,0),C39))</f>
        <v>11.99</v>
      </c>
      <c r="J39" s="14" t="str">
        <f>VLOOKUP(A39,'Kursy walut'!A:E,3,0)</f>
        <v>CHF</v>
      </c>
      <c r="K39" s="165">
        <f>C39/VLOOKUP(D39,'Kursy walut'!C:E,2,0)</f>
        <v>12.076954069298953</v>
      </c>
      <c r="L39" s="52" t="s">
        <v>86</v>
      </c>
      <c r="M39" s="165">
        <f>C39/VLOOKUP(D39,'Kursy walut'!C:E,3,0)</f>
        <v>12.349366567102688</v>
      </c>
      <c r="N39" s="52" t="s">
        <v>85</v>
      </c>
    </row>
    <row r="40" spans="1:14" ht="15.75" customHeight="1" x14ac:dyDescent="0.15">
      <c r="A40" s="52" t="s">
        <v>36</v>
      </c>
      <c r="B40" s="14" t="str">
        <f ca="1">VLOOKUP(A40,'Country Names'!$1:$1000,2,0)</f>
        <v>Sweden</v>
      </c>
      <c r="C40" s="176">
        <v>99</v>
      </c>
      <c r="D40" s="14" t="s">
        <v>176</v>
      </c>
      <c r="E40" s="14" t="str">
        <f>VLOOKUP(A40,'Kursy walut'!A:E,3,0)</f>
        <v>SEK</v>
      </c>
      <c r="G40" s="52" t="s">
        <v>36</v>
      </c>
      <c r="H40" s="14" t="str">
        <f ca="1">VLOOKUP(G40,'Country Names'!$1:$1000,2,0)</f>
        <v>Sweden</v>
      </c>
      <c r="I40" s="174">
        <f>IF(D40="USD",C40*VLOOKUP(J40,'Kursy walut'!C:E,2,0),IF(D40="EUR",C40*VLOOKUP(J40,'Kursy walut'!C:E,3,0),C40))</f>
        <v>99</v>
      </c>
      <c r="J40" s="14" t="str">
        <f>VLOOKUP(A40,'Kursy walut'!A:E,3,0)</f>
        <v>SEK</v>
      </c>
      <c r="K40" s="165">
        <f>C40/VLOOKUP(D40,'Kursy walut'!C:E,2,0)</f>
        <v>8.8675510332040517</v>
      </c>
      <c r="L40" s="52" t="s">
        <v>86</v>
      </c>
      <c r="M40" s="165">
        <f>C40/VLOOKUP(D40,'Kursy walut'!C:E,3,0)</f>
        <v>9.0661831368993653</v>
      </c>
      <c r="N40" s="52" t="s">
        <v>85</v>
      </c>
    </row>
    <row r="41" spans="1:14" ht="13" x14ac:dyDescent="0.15">
      <c r="A41" s="52" t="s">
        <v>30</v>
      </c>
      <c r="B41" s="14" t="str">
        <f ca="1">VLOOKUP(A41,'Country Names'!$1:$1000,2,0)</f>
        <v>Ireland</v>
      </c>
      <c r="C41" s="176">
        <v>9.99</v>
      </c>
      <c r="D41" s="14" t="s">
        <v>85</v>
      </c>
      <c r="E41" s="14" t="str">
        <f>VLOOKUP(A41,'Kursy walut'!A:E,3,0)</f>
        <v>EUR</v>
      </c>
      <c r="G41" s="52" t="s">
        <v>30</v>
      </c>
      <c r="H41" s="14" t="str">
        <f ca="1">VLOOKUP(G41,'Country Names'!$1:$1000,2,0)</f>
        <v>Ireland</v>
      </c>
      <c r="I41" s="174">
        <f>IF(D41="USD",C41*VLOOKUP(J41,'Kursy walut'!C:E,2,0),IF(D41="EUR",C41*VLOOKUP(J41,'Kursy walut'!C:E,3,0),C41))</f>
        <v>9.99</v>
      </c>
      <c r="J41" s="14" t="str">
        <f>VLOOKUP(A41,'Kursy walut'!A:E,3,0)</f>
        <v>EUR</v>
      </c>
      <c r="K41" s="165">
        <f>C41/VLOOKUP(D41,'Kursy walut'!C:E,2,0)</f>
        <v>9.7720825589357343</v>
      </c>
      <c r="L41" s="52" t="s">
        <v>86</v>
      </c>
      <c r="M41" s="165">
        <f>C41/VLOOKUP(D41,'Kursy walut'!C:E,3,0)</f>
        <v>9.99</v>
      </c>
      <c r="N41" s="52" t="s">
        <v>85</v>
      </c>
    </row>
    <row r="42" spans="1:14" ht="13" x14ac:dyDescent="0.15">
      <c r="A42" s="52" t="s">
        <v>48</v>
      </c>
      <c r="B42" s="14" t="str">
        <f ca="1">VLOOKUP(A42,'Country Names'!$1:$1000,2,0)</f>
        <v>New Zealand</v>
      </c>
      <c r="C42" s="176">
        <v>12.95</v>
      </c>
      <c r="D42" s="14" t="s">
        <v>145</v>
      </c>
      <c r="E42" s="14" t="str">
        <f>VLOOKUP(A42,'Kursy walut'!A:E,3,0)</f>
        <v>NZD</v>
      </c>
      <c r="G42" s="52" t="s">
        <v>48</v>
      </c>
      <c r="H42" s="14" t="str">
        <f ca="1">VLOOKUP(G42,'Country Names'!$1:$1000,2,0)</f>
        <v>New Zealand</v>
      </c>
      <c r="I42" s="174">
        <f>IF(D42="USD",C42*VLOOKUP(J42,'Kursy walut'!C:E,2,0),IF(D42="EUR",C42*VLOOKUP(J42,'Kursy walut'!C:E,3,0),C42))</f>
        <v>12.95</v>
      </c>
      <c r="J42" s="14" t="str">
        <f>VLOOKUP(A42,'Kursy walut'!A:E,3,0)</f>
        <v>NZD</v>
      </c>
      <c r="K42" s="165">
        <f>C42/VLOOKUP(D42,'Kursy walut'!C:E,2,0)</f>
        <v>7.2912561229660486</v>
      </c>
      <c r="L42" s="52" t="s">
        <v>86</v>
      </c>
      <c r="M42" s="165">
        <f>C42/VLOOKUP(D42,'Kursy walut'!C:E,3,0)</f>
        <v>7.4292926395502255</v>
      </c>
      <c r="N42" s="52" t="s">
        <v>85</v>
      </c>
    </row>
    <row r="43" spans="1:14" ht="13" x14ac:dyDescent="0.15">
      <c r="A43" s="52" t="s">
        <v>26</v>
      </c>
      <c r="B43" s="14" t="str">
        <f ca="1">VLOOKUP(A43,'Country Names'!$1:$1000,2,0)</f>
        <v>United States</v>
      </c>
      <c r="C43" s="176">
        <v>9.99</v>
      </c>
      <c r="D43" s="14" t="s">
        <v>86</v>
      </c>
      <c r="E43" s="14" t="str">
        <f>VLOOKUP(A43,'Kursy walut'!A:E,3,0)</f>
        <v>USD</v>
      </c>
      <c r="G43" s="52" t="s">
        <v>26</v>
      </c>
      <c r="H43" s="14" t="str">
        <f ca="1">VLOOKUP(G43,'Country Names'!$1:$1000,2,0)</f>
        <v>United States</v>
      </c>
      <c r="I43" s="174">
        <f>IF(D43="USD",C43*VLOOKUP(J43,'Kursy walut'!C:E,2,0),IF(D43="EUR",C43*VLOOKUP(J43,'Kursy walut'!C:E,3,0),C43))</f>
        <v>9.99</v>
      </c>
      <c r="J43" s="14" t="str">
        <f>VLOOKUP(A43,'Kursy walut'!A:E,3,0)</f>
        <v>USD</v>
      </c>
      <c r="K43" s="165">
        <f>C43/VLOOKUP(D43,'Kursy walut'!C:E,2,0)</f>
        <v>9.99</v>
      </c>
      <c r="L43" s="52" t="s">
        <v>86</v>
      </c>
      <c r="M43" s="165">
        <f>C43/VLOOKUP(D43,'Kursy walut'!C:E,3,0)</f>
        <v>10.212635452872624</v>
      </c>
      <c r="N43" s="52" t="s">
        <v>85</v>
      </c>
    </row>
    <row r="44" spans="1:14" ht="13" x14ac:dyDescent="0.15">
      <c r="A44" s="52" t="s">
        <v>37</v>
      </c>
      <c r="B44" s="14" t="str">
        <f ca="1">VLOOKUP(A44,'Country Names'!$1:$1000,2,0)</f>
        <v>Canada</v>
      </c>
      <c r="C44" s="176">
        <v>11.99</v>
      </c>
      <c r="D44" s="14" t="s">
        <v>102</v>
      </c>
      <c r="E44" s="14" t="str">
        <f>VLOOKUP(A44,'Kursy walut'!A:E,3,0)</f>
        <v>CAD</v>
      </c>
      <c r="G44" s="52" t="s">
        <v>37</v>
      </c>
      <c r="H44" s="14" t="str">
        <f ca="1">VLOOKUP(G44,'Country Names'!$1:$1000,2,0)</f>
        <v>Canada</v>
      </c>
      <c r="I44" s="174">
        <f>IF(D44="USD",C44*VLOOKUP(J44,'Kursy walut'!C:E,2,0),IF(D44="EUR",C44*VLOOKUP(J44,'Kursy walut'!C:E,3,0),C44))</f>
        <v>11.99</v>
      </c>
      <c r="J44" s="14" t="str">
        <f>VLOOKUP(A44,'Kursy walut'!A:E,3,0)</f>
        <v>CAD</v>
      </c>
      <c r="K44" s="165">
        <f>C44/VLOOKUP(D44,'Kursy walut'!C:E,2,0)</f>
        <v>8.7231720625682065</v>
      </c>
      <c r="L44" s="52" t="s">
        <v>86</v>
      </c>
      <c r="M44" s="165">
        <f>C44/VLOOKUP(D44,'Kursy walut'!C:E,3,0)</f>
        <v>8.9171500818087157</v>
      </c>
      <c r="N44" s="52" t="s">
        <v>85</v>
      </c>
    </row>
    <row r="45" spans="1:14" ht="13" x14ac:dyDescent="0.15">
      <c r="A45" s="52" t="s">
        <v>71</v>
      </c>
      <c r="B45" s="14" t="str">
        <f ca="1">VLOOKUP(A45,'Country Names'!$1:$1000,2,0)</f>
        <v>Egypt</v>
      </c>
      <c r="C45" s="181">
        <v>9.99</v>
      </c>
      <c r="D45" s="52" t="s">
        <v>86</v>
      </c>
      <c r="E45" s="14" t="str">
        <f>VLOOKUP(A45,'Kursy walut'!A:E,3,0)</f>
        <v>EGP</v>
      </c>
      <c r="G45" s="52" t="s">
        <v>71</v>
      </c>
      <c r="H45" s="14" t="str">
        <f ca="1">VLOOKUP(G45,'Country Names'!$1:$1000,2,0)</f>
        <v>Egypt</v>
      </c>
      <c r="I45" s="174">
        <f>IF(D45="USD",C45*VLOOKUP(J45,'Kursy walut'!C:E,2,0),IF(D45="EUR",C45*VLOOKUP(J45,'Kursy walut'!C:E,3,0),C45))</f>
        <v>196.29251100000002</v>
      </c>
      <c r="J45" s="14" t="str">
        <f>VLOOKUP(A45,'Kursy walut'!A:E,3,0)</f>
        <v>EGP</v>
      </c>
      <c r="K45" s="165">
        <f>C45/VLOOKUP(D45,'Kursy walut'!C:E,2,0)</f>
        <v>9.99</v>
      </c>
      <c r="L45" s="52" t="s">
        <v>86</v>
      </c>
      <c r="M45" s="165">
        <f>C45/VLOOKUP(D45,'Kursy walut'!C:E,3,0)</f>
        <v>10.212635452872624</v>
      </c>
      <c r="N45" s="52" t="s">
        <v>85</v>
      </c>
    </row>
    <row r="46" spans="1:14" ht="13" x14ac:dyDescent="0.15">
      <c r="A46" s="52" t="s">
        <v>38</v>
      </c>
      <c r="B46" s="14" t="str">
        <f ca="1">VLOOKUP(A46,'Country Names'!$1:$1000,2,0)</f>
        <v>Israel</v>
      </c>
      <c r="C46" s="176">
        <v>27.99</v>
      </c>
      <c r="D46" s="14" t="s">
        <v>128</v>
      </c>
      <c r="E46" s="14" t="str">
        <f>VLOOKUP(A46,'Kursy walut'!A:E,3,0)</f>
        <v>ILS</v>
      </c>
      <c r="G46" s="52" t="s">
        <v>38</v>
      </c>
      <c r="H46" s="14" t="str">
        <f ca="1">VLOOKUP(G46,'Country Names'!$1:$1000,2,0)</f>
        <v>Israel</v>
      </c>
      <c r="I46" s="174">
        <f>IF(D46="USD",C46*VLOOKUP(J46,'Kursy walut'!C:E,2,0),IF(D46="EUR",C46*VLOOKUP(J46,'Kursy walut'!C:E,3,0),C46))</f>
        <v>27.99</v>
      </c>
      <c r="J46" s="14" t="str">
        <f>VLOOKUP(A46,'Kursy walut'!A:E,3,0)</f>
        <v>ILS</v>
      </c>
      <c r="K46" s="165">
        <f>C46/VLOOKUP(D46,'Kursy walut'!C:E,2,0)</f>
        <v>7.8802894225625719</v>
      </c>
      <c r="L46" s="52" t="s">
        <v>86</v>
      </c>
      <c r="M46" s="165">
        <f>C46/VLOOKUP(D46,'Kursy walut'!C:E,3,0)</f>
        <v>8.0516641256508343</v>
      </c>
      <c r="N46" s="52" t="s">
        <v>85</v>
      </c>
    </row>
    <row r="47" spans="1:14" ht="13" x14ac:dyDescent="0.15">
      <c r="A47" s="52" t="s">
        <v>67</v>
      </c>
      <c r="B47" s="14" t="str">
        <f ca="1">VLOOKUP(A47,'Country Names'!$1:$1000,2,0)</f>
        <v>Japan</v>
      </c>
      <c r="C47" s="176">
        <v>850</v>
      </c>
      <c r="D47" s="14" t="s">
        <v>131</v>
      </c>
      <c r="E47" s="14" t="str">
        <f>VLOOKUP(A47,'Kursy walut'!A:E,3,0)</f>
        <v>JPY</v>
      </c>
      <c r="G47" s="52" t="s">
        <v>67</v>
      </c>
      <c r="H47" s="14" t="str">
        <f ca="1">VLOOKUP(G47,'Country Names'!$1:$1000,2,0)</f>
        <v>Japan</v>
      </c>
      <c r="I47" s="174">
        <f>IF(D47="USD",C47*VLOOKUP(J47,'Kursy walut'!C:E,2,0),IF(D47="EUR",C47*VLOOKUP(J47,'Kursy walut'!C:E,3,0),C47))</f>
        <v>850</v>
      </c>
      <c r="J47" s="14" t="str">
        <f>VLOOKUP(A47,'Kursy walut'!A:E,3,0)</f>
        <v>JPY</v>
      </c>
      <c r="K47" s="165">
        <f>C47/VLOOKUP(D47,'Kursy walut'!C:E,2,0)</f>
        <v>5.8412981151161798</v>
      </c>
      <c r="L47" s="52" t="s">
        <v>86</v>
      </c>
      <c r="M47" s="165">
        <f>C47/VLOOKUP(D47,'Kursy walut'!C:E,3,0)</f>
        <v>5.9712313100459999</v>
      </c>
      <c r="N47" s="52" t="s">
        <v>85</v>
      </c>
    </row>
    <row r="48" spans="1:14" ht="13" x14ac:dyDescent="0.15">
      <c r="A48" s="52" t="s">
        <v>60</v>
      </c>
      <c r="B48" s="14" t="str">
        <f ca="1">VLOOKUP(A48,'Country Names'!$1:$1000,2,0)</f>
        <v>South Korea</v>
      </c>
      <c r="C48" s="176">
        <v>7900</v>
      </c>
      <c r="D48" s="14" t="s">
        <v>173</v>
      </c>
      <c r="E48" s="14" t="str">
        <f>VLOOKUP(A48,'Kursy walut'!A:E,3,0)</f>
        <v>KRW</v>
      </c>
      <c r="G48" s="52" t="s">
        <v>60</v>
      </c>
      <c r="H48" s="14" t="str">
        <f ca="1">VLOOKUP(G48,'Country Names'!$1:$1000,2,0)</f>
        <v>South Korea</v>
      </c>
      <c r="I48" s="174">
        <f>IF(D48="USD",C48*VLOOKUP(J48,'Kursy walut'!C:E,2,0),IF(D48="EUR",C48*VLOOKUP(J48,'Kursy walut'!C:E,3,0),C48))</f>
        <v>7900</v>
      </c>
      <c r="J48" s="14" t="str">
        <f>VLOOKUP(A48,'Kursy walut'!A:E,3,0)</f>
        <v>KRW</v>
      </c>
      <c r="K48" s="165">
        <f>C48/VLOOKUP(D48,'Kursy walut'!C:E,2,0)</f>
        <v>5.5317042627663158</v>
      </c>
      <c r="L48" s="52" t="s">
        <v>86</v>
      </c>
      <c r="M48" s="165">
        <f>C48/VLOOKUP(D48,'Kursy walut'!C:E,3,0)</f>
        <v>5.6583679418932888</v>
      </c>
      <c r="N48" s="52" t="s">
        <v>85</v>
      </c>
    </row>
    <row r="49" spans="1:14" ht="13" x14ac:dyDescent="0.15">
      <c r="A49" s="52" t="s">
        <v>35</v>
      </c>
      <c r="B49" s="14" t="str">
        <f ca="1">VLOOKUP(A49,'Country Names'!$1:$1000,2,0)</f>
        <v>Norway</v>
      </c>
      <c r="C49" s="176">
        <v>99</v>
      </c>
      <c r="D49" s="14" t="s">
        <v>151</v>
      </c>
      <c r="E49" s="14" t="str">
        <f>VLOOKUP(A49,'Kursy walut'!A:E,3,0)</f>
        <v>NOK</v>
      </c>
      <c r="G49" s="52" t="s">
        <v>35</v>
      </c>
      <c r="H49" s="14" t="str">
        <f ca="1">VLOOKUP(G49,'Country Names'!$1:$1000,2,0)</f>
        <v>Norway</v>
      </c>
      <c r="I49" s="174">
        <f>IF(D49="USD",C49*VLOOKUP(J49,'Kursy walut'!C:E,2,0),IF(D49="EUR",C49*VLOOKUP(J49,'Kursy walut'!C:E,3,0),C49))</f>
        <v>99</v>
      </c>
      <c r="J49" s="14" t="str">
        <f>VLOOKUP(A49,'Kursy walut'!A:E,3,0)</f>
        <v>NOK</v>
      </c>
      <c r="K49" s="165">
        <f>C49/VLOOKUP(D49,'Kursy walut'!C:E,2,0)</f>
        <v>9.2514718250630779</v>
      </c>
      <c r="L49" s="52" t="s">
        <v>86</v>
      </c>
      <c r="M49" s="165">
        <f>C49/VLOOKUP(D49,'Kursy walut'!C:E,3,0)</f>
        <v>9.4532398831235795</v>
      </c>
      <c r="N49" s="52" t="s">
        <v>85</v>
      </c>
    </row>
    <row r="50" spans="1:14" ht="13" x14ac:dyDescent="0.15">
      <c r="A50" s="52" t="s">
        <v>31</v>
      </c>
      <c r="B50" s="14" t="str">
        <f ca="1">VLOOKUP(A50,'Country Names'!$1:$1000,2,0)</f>
        <v>France</v>
      </c>
      <c r="C50" s="176">
        <v>9.99</v>
      </c>
      <c r="D50" s="14" t="s">
        <v>85</v>
      </c>
      <c r="E50" s="14" t="str">
        <f>VLOOKUP(A50,'Kursy walut'!A:E,3,0)</f>
        <v>EUR</v>
      </c>
      <c r="G50" s="52" t="s">
        <v>31</v>
      </c>
      <c r="H50" s="14" t="str">
        <f ca="1">VLOOKUP(G50,'Country Names'!$1:$1000,2,0)</f>
        <v>France</v>
      </c>
      <c r="I50" s="174">
        <f>IF(D50="USD",C50*VLOOKUP(J50,'Kursy walut'!C:E,2,0),IF(D50="EUR",C50*VLOOKUP(J50,'Kursy walut'!C:E,3,0),C50))</f>
        <v>9.99</v>
      </c>
      <c r="J50" s="14" t="str">
        <f>VLOOKUP(A50,'Kursy walut'!A:E,3,0)</f>
        <v>EUR</v>
      </c>
      <c r="K50" s="165">
        <f>C50/VLOOKUP(D50,'Kursy walut'!C:E,2,0)</f>
        <v>9.7720825589357343</v>
      </c>
      <c r="L50" s="52" t="s">
        <v>86</v>
      </c>
      <c r="M50" s="165">
        <f>C50/VLOOKUP(D50,'Kursy walut'!C:E,3,0)</f>
        <v>9.99</v>
      </c>
      <c r="N50" s="52" t="s">
        <v>85</v>
      </c>
    </row>
    <row r="51" spans="1:14" ht="13" x14ac:dyDescent="0.15">
      <c r="A51" s="52" t="s">
        <v>39</v>
      </c>
      <c r="B51" s="14" t="str">
        <f ca="1">VLOOKUP(A51,'Country Names'!$1:$1000,2,0)</f>
        <v>Netherlands</v>
      </c>
      <c r="C51" s="176">
        <v>9.99</v>
      </c>
      <c r="D51" s="14" t="s">
        <v>85</v>
      </c>
      <c r="E51" s="14" t="str">
        <f>VLOOKUP(A51,'Kursy walut'!A:E,3,0)</f>
        <v>EUR</v>
      </c>
      <c r="G51" s="52" t="s">
        <v>39</v>
      </c>
      <c r="H51" s="14" t="str">
        <f ca="1">VLOOKUP(G51,'Country Names'!$1:$1000,2,0)</f>
        <v>Netherlands</v>
      </c>
      <c r="I51" s="174">
        <f>IF(D51="USD",C51*VLOOKUP(J51,'Kursy walut'!C:E,2,0),IF(D51="EUR",C51*VLOOKUP(J51,'Kursy walut'!C:E,3,0),C51))</f>
        <v>9.99</v>
      </c>
      <c r="J51" s="14" t="str">
        <f>VLOOKUP(A51,'Kursy walut'!A:E,3,0)</f>
        <v>EUR</v>
      </c>
      <c r="K51" s="165">
        <f>C51/VLOOKUP(D51,'Kursy walut'!C:E,2,0)</f>
        <v>9.7720825589357343</v>
      </c>
      <c r="L51" s="52" t="s">
        <v>86</v>
      </c>
      <c r="M51" s="165">
        <f>C51/VLOOKUP(D51,'Kursy walut'!C:E,3,0)</f>
        <v>9.99</v>
      </c>
      <c r="N51" s="52" t="s">
        <v>85</v>
      </c>
    </row>
    <row r="52" spans="1:14" ht="13" x14ac:dyDescent="0.15">
      <c r="A52" s="52" t="s">
        <v>43</v>
      </c>
      <c r="B52" s="14" t="str">
        <f ca="1">VLOOKUP(A52,'Country Names'!$1:$1000,2,0)</f>
        <v>Lithuania</v>
      </c>
      <c r="C52" s="177">
        <v>9.99</v>
      </c>
      <c r="D52" s="14" t="s">
        <v>85</v>
      </c>
      <c r="E52" s="14" t="str">
        <f>VLOOKUP(A52,'Kursy walut'!A:E,3,0)</f>
        <v>EUR</v>
      </c>
      <c r="G52" s="52" t="s">
        <v>43</v>
      </c>
      <c r="H52" s="14" t="str">
        <f ca="1">VLOOKUP(G52,'Country Names'!$1:$1000,2,0)</f>
        <v>Lithuania</v>
      </c>
      <c r="I52" s="174">
        <f>IF(D52="USD",C52*VLOOKUP(J52,'Kursy walut'!C:E,2,0),IF(D52="EUR",C52*VLOOKUP(J52,'Kursy walut'!C:E,3,0),C52))</f>
        <v>9.99</v>
      </c>
      <c r="J52" s="14" t="str">
        <f>VLOOKUP(A52,'Kursy walut'!A:E,3,0)</f>
        <v>EUR</v>
      </c>
      <c r="K52" s="165">
        <f>C52/VLOOKUP(D52,'Kursy walut'!C:E,2,0)</f>
        <v>9.7720825589357343</v>
      </c>
      <c r="L52" s="52" t="s">
        <v>86</v>
      </c>
      <c r="M52" s="165">
        <f>C52/VLOOKUP(D52,'Kursy walut'!C:E,3,0)</f>
        <v>9.99</v>
      </c>
      <c r="N52" s="52" t="s">
        <v>85</v>
      </c>
    </row>
    <row r="53" spans="1:14" ht="13" x14ac:dyDescent="0.15">
      <c r="A53" s="52" t="s">
        <v>42</v>
      </c>
      <c r="B53" s="14" t="str">
        <f ca="1">VLOOKUP(A53,'Country Names'!$1:$1000,2,0)</f>
        <v>Estonia</v>
      </c>
      <c r="C53" s="177">
        <v>9.99</v>
      </c>
      <c r="D53" s="14" t="s">
        <v>85</v>
      </c>
      <c r="E53" s="14" t="str">
        <f>VLOOKUP(A53,'Kursy walut'!A:E,3,0)</f>
        <v>EUR</v>
      </c>
      <c r="G53" s="52" t="s">
        <v>42</v>
      </c>
      <c r="H53" s="14" t="str">
        <f ca="1">VLOOKUP(G53,'Country Names'!$1:$1000,2,0)</f>
        <v>Estonia</v>
      </c>
      <c r="I53" s="174">
        <f>IF(D53="USD",C53*VLOOKUP(J53,'Kursy walut'!C:E,2,0),IF(D53="EUR",C53*VLOOKUP(J53,'Kursy walut'!C:E,3,0),C53))</f>
        <v>9.99</v>
      </c>
      <c r="J53" s="14" t="str">
        <f>VLOOKUP(A53,'Kursy walut'!A:E,3,0)</f>
        <v>EUR</v>
      </c>
      <c r="K53" s="165">
        <f>C53/VLOOKUP(D53,'Kursy walut'!C:E,2,0)</f>
        <v>9.7720825589357343</v>
      </c>
      <c r="L53" s="52" t="s">
        <v>86</v>
      </c>
      <c r="M53" s="165">
        <f>C53/VLOOKUP(D53,'Kursy walut'!C:E,3,0)</f>
        <v>9.99</v>
      </c>
      <c r="N53" s="52" t="s">
        <v>85</v>
      </c>
    </row>
    <row r="54" spans="1:14" ht="13" x14ac:dyDescent="0.15">
      <c r="A54" s="52" t="s">
        <v>44</v>
      </c>
      <c r="B54" s="14" t="str">
        <f ca="1">VLOOKUP(A54,'Country Names'!$1:$1000,2,0)</f>
        <v>Latvia</v>
      </c>
      <c r="C54" s="177">
        <v>9.99</v>
      </c>
      <c r="D54" s="14" t="s">
        <v>85</v>
      </c>
      <c r="E54" s="14" t="str">
        <f>VLOOKUP(A54,'Kursy walut'!A:E,3,0)</f>
        <v>EUR</v>
      </c>
      <c r="G54" s="52" t="s">
        <v>44</v>
      </c>
      <c r="H54" s="14" t="str">
        <f ca="1">VLOOKUP(G54,'Country Names'!$1:$1000,2,0)</f>
        <v>Latvia</v>
      </c>
      <c r="I54" s="174">
        <f>IF(D54="USD",C54*VLOOKUP(J54,'Kursy walut'!C:E,2,0),IF(D54="EUR",C54*VLOOKUP(J54,'Kursy walut'!C:E,3,0),C54))</f>
        <v>9.99</v>
      </c>
      <c r="J54" s="14" t="str">
        <f>VLOOKUP(A54,'Kursy walut'!A:E,3,0)</f>
        <v>EUR</v>
      </c>
      <c r="K54" s="165">
        <f>C54/VLOOKUP(D54,'Kursy walut'!C:E,2,0)</f>
        <v>9.7720825589357343</v>
      </c>
      <c r="L54" s="52" t="s">
        <v>86</v>
      </c>
      <c r="M54" s="165">
        <f>C54/VLOOKUP(D54,'Kursy walut'!C:E,3,0)</f>
        <v>9.99</v>
      </c>
      <c r="N54" s="52" t="s">
        <v>85</v>
      </c>
    </row>
    <row r="55" spans="1:14" ht="13" x14ac:dyDescent="0.15">
      <c r="A55" s="52" t="s">
        <v>46</v>
      </c>
      <c r="B55" s="14" t="str">
        <f ca="1">VLOOKUP(A55,'Country Names'!$1:$1000,2,0)</f>
        <v>Croatia</v>
      </c>
      <c r="C55" s="177">
        <v>9.99</v>
      </c>
      <c r="D55" s="14" t="s">
        <v>85</v>
      </c>
      <c r="E55" s="14" t="str">
        <f>VLOOKUP(A55,'Kursy walut'!A:E,3,0)</f>
        <v>HRK</v>
      </c>
      <c r="G55" s="52" t="s">
        <v>46</v>
      </c>
      <c r="H55" s="14" t="str">
        <f ca="1">VLOOKUP(G55,'Country Names'!$1:$1000,2,0)</f>
        <v>Croatia</v>
      </c>
      <c r="I55" s="174">
        <f>IF(D55="USD",C55*VLOOKUP(J55,'Kursy walut'!C:E,2,0),IF(D55="EUR",C55*VLOOKUP(J55,'Kursy walut'!C:E,3,0),C55))</f>
        <v>75.795129000000003</v>
      </c>
      <c r="J55" s="14" t="str">
        <f>VLOOKUP(A55,'Kursy walut'!A:E,3,0)</f>
        <v>HRK</v>
      </c>
      <c r="K55" s="165">
        <f>C55/VLOOKUP(D55,'Kursy walut'!C:E,2,0)</f>
        <v>9.7720825589357343</v>
      </c>
      <c r="L55" s="52" t="s">
        <v>86</v>
      </c>
      <c r="M55" s="165">
        <f>C55/VLOOKUP(D55,'Kursy walut'!C:E,3,0)</f>
        <v>9.99</v>
      </c>
      <c r="N55" s="52" t="s">
        <v>85</v>
      </c>
    </row>
    <row r="56" spans="1:14" ht="13" x14ac:dyDescent="0.15">
      <c r="A56" s="52" t="s">
        <v>50</v>
      </c>
      <c r="B56" s="14" t="str">
        <f ca="1">VLOOKUP(A56,'Country Names'!$1:$1000,2,0)</f>
        <v>Serbia</v>
      </c>
      <c r="C56" s="177">
        <v>9.99</v>
      </c>
      <c r="D56" s="14" t="s">
        <v>85</v>
      </c>
      <c r="E56" s="14" t="str">
        <f>VLOOKUP(A56,'Kursy walut'!A:E,3,0)</f>
        <v>RSD</v>
      </c>
      <c r="G56" s="52" t="s">
        <v>50</v>
      </c>
      <c r="H56" s="14" t="str">
        <f ca="1">VLOOKUP(G56,'Country Names'!$1:$1000,2,0)</f>
        <v>Serbia</v>
      </c>
      <c r="I56" s="174">
        <f>IF(D56="USD",C56*VLOOKUP(J56,'Kursy walut'!C:E,2,0),IF(D56="EUR",C56*VLOOKUP(J56,'Kursy walut'!C:E,3,0),C56))</f>
        <v>1171.7920349999999</v>
      </c>
      <c r="J56" s="14" t="str">
        <f>VLOOKUP(A56,'Kursy walut'!A:E,3,0)</f>
        <v>RSD</v>
      </c>
      <c r="K56" s="165">
        <f>C56/VLOOKUP(D56,'Kursy walut'!C:E,2,0)</f>
        <v>9.7720825589357343</v>
      </c>
      <c r="L56" s="52" t="s">
        <v>86</v>
      </c>
      <c r="M56" s="165">
        <f>C56/VLOOKUP(D56,'Kursy walut'!C:E,3,0)</f>
        <v>9.99</v>
      </c>
      <c r="N56" s="52" t="s">
        <v>85</v>
      </c>
    </row>
    <row r="57" spans="1:14" ht="13" x14ac:dyDescent="0.15">
      <c r="A57" s="52" t="s">
        <v>51</v>
      </c>
      <c r="B57" s="14" t="str">
        <f ca="1">VLOOKUP(A57,'Country Names'!$1:$1000,2,0)</f>
        <v>Moldova</v>
      </c>
      <c r="C57" s="177">
        <v>9.99</v>
      </c>
      <c r="D57" s="14" t="s">
        <v>85</v>
      </c>
      <c r="E57" s="14" t="str">
        <f>VLOOKUP(A57,'Kursy walut'!A:E,3,0)</f>
        <v>MDL</v>
      </c>
      <c r="G57" s="52" t="s">
        <v>51</v>
      </c>
      <c r="H57" s="14" t="str">
        <f ca="1">VLOOKUP(G57,'Country Names'!$1:$1000,2,0)</f>
        <v>Moldova</v>
      </c>
      <c r="I57" s="174">
        <f>IF(D57="USD",C57*VLOOKUP(J57,'Kursy walut'!C:E,2,0),IF(D57="EUR",C57*VLOOKUP(J57,'Kursy walut'!C:E,3,0),C57))</f>
        <v>190.066743</v>
      </c>
      <c r="J57" s="14" t="str">
        <f>VLOOKUP(A57,'Kursy walut'!A:E,3,0)</f>
        <v>MDL</v>
      </c>
      <c r="K57" s="165">
        <f>C57/VLOOKUP(D57,'Kursy walut'!C:E,2,0)</f>
        <v>9.7720825589357343</v>
      </c>
      <c r="L57" s="52" t="s">
        <v>86</v>
      </c>
      <c r="M57" s="165">
        <f>C57/VLOOKUP(D57,'Kursy walut'!C:E,3,0)</f>
        <v>9.99</v>
      </c>
      <c r="N57" s="52" t="s">
        <v>85</v>
      </c>
    </row>
    <row r="58" spans="1:14" ht="13" x14ac:dyDescent="0.15">
      <c r="A58" s="52" t="s">
        <v>55</v>
      </c>
      <c r="B58" s="14" t="str">
        <f ca="1">VLOOKUP(A58,'Country Names'!$1:$1000,2,0)</f>
        <v>Montenegro</v>
      </c>
      <c r="C58" s="177">
        <v>9.99</v>
      </c>
      <c r="D58" s="14" t="s">
        <v>85</v>
      </c>
      <c r="E58" s="14" t="str">
        <f>VLOOKUP(A58,'Kursy walut'!A:E,3,0)</f>
        <v>EUR</v>
      </c>
      <c r="G58" s="52" t="s">
        <v>55</v>
      </c>
      <c r="H58" s="14" t="str">
        <f ca="1">VLOOKUP(G58,'Country Names'!$1:$1000,2,0)</f>
        <v>Montenegro</v>
      </c>
      <c r="I58" s="174">
        <f>IF(D58="USD",C58*VLOOKUP(J58,'Kursy walut'!C:E,2,0),IF(D58="EUR",C58*VLOOKUP(J58,'Kursy walut'!C:E,3,0),C58))</f>
        <v>9.99</v>
      </c>
      <c r="J58" s="14" t="str">
        <f>VLOOKUP(A58,'Kursy walut'!A:E,3,0)</f>
        <v>EUR</v>
      </c>
      <c r="K58" s="165">
        <f>C58/VLOOKUP(D58,'Kursy walut'!C:E,2,0)</f>
        <v>9.7720825589357343</v>
      </c>
      <c r="L58" s="52" t="s">
        <v>86</v>
      </c>
      <c r="M58" s="165">
        <f>C58/VLOOKUP(D58,'Kursy walut'!C:E,3,0)</f>
        <v>9.99</v>
      </c>
      <c r="N58" s="52" t="s">
        <v>85</v>
      </c>
    </row>
    <row r="59" spans="1:14" ht="13" x14ac:dyDescent="0.15">
      <c r="A59" s="52" t="s">
        <v>53</v>
      </c>
      <c r="B59" s="14" t="str">
        <f ca="1">VLOOKUP(A59,'Country Names'!$1:$1000,2,0)</f>
        <v>Bosnia and Herzegovina</v>
      </c>
      <c r="C59" s="177">
        <v>9.99</v>
      </c>
      <c r="D59" s="14" t="s">
        <v>85</v>
      </c>
      <c r="E59" s="14" t="str">
        <f>VLOOKUP(A59,'Kursy walut'!A:E,3,0)</f>
        <v>BAM</v>
      </c>
      <c r="G59" s="52" t="s">
        <v>53</v>
      </c>
      <c r="H59" s="14" t="str">
        <f ca="1">VLOOKUP(G59,'Country Names'!$1:$1000,2,0)</f>
        <v>Bosnia and Herzegovina</v>
      </c>
      <c r="I59" s="174">
        <f>IF(D59="USD",C59*VLOOKUP(J59,'Kursy walut'!C:E,2,0),IF(D59="EUR",C59*VLOOKUP(J59,'Kursy walut'!C:E,3,0),C59))</f>
        <v>19.538442</v>
      </c>
      <c r="J59" s="14" t="str">
        <f>VLOOKUP(A59,'Kursy walut'!A:E,3,0)</f>
        <v>BAM</v>
      </c>
      <c r="K59" s="165">
        <f>C59/VLOOKUP(D59,'Kursy walut'!C:E,2,0)</f>
        <v>9.7720825589357343</v>
      </c>
      <c r="L59" s="52" t="s">
        <v>86</v>
      </c>
      <c r="M59" s="165">
        <f>C59/VLOOKUP(D59,'Kursy walut'!C:E,3,0)</f>
        <v>9.99</v>
      </c>
      <c r="N59" s="52" t="s">
        <v>85</v>
      </c>
    </row>
    <row r="60" spans="1:14" ht="13" x14ac:dyDescent="0.15">
      <c r="A60" s="52" t="s">
        <v>52</v>
      </c>
      <c r="B60" s="14" t="str">
        <f ca="1">VLOOKUP(A60,'Country Names'!$1:$1000,2,0)</f>
        <v>Albania</v>
      </c>
      <c r="C60" s="177">
        <v>9.99</v>
      </c>
      <c r="D60" s="14" t="s">
        <v>85</v>
      </c>
      <c r="E60" s="14" t="str">
        <f>VLOOKUP(A60,'Kursy walut'!A:E,3,0)</f>
        <v>ALL</v>
      </c>
      <c r="G60" s="52" t="s">
        <v>52</v>
      </c>
      <c r="H60" s="14" t="str">
        <f ca="1">VLOOKUP(G60,'Country Names'!$1:$1000,2,0)</f>
        <v>Albania</v>
      </c>
      <c r="I60" s="174">
        <f>IF(D60="USD",C60*VLOOKUP(J60,'Kursy walut'!C:E,2,0),IF(D60="EUR",C60*VLOOKUP(J60,'Kursy walut'!C:E,3,0),C60))</f>
        <v>1167.6242070000001</v>
      </c>
      <c r="J60" s="14" t="str">
        <f>VLOOKUP(A60,'Kursy walut'!A:E,3,0)</f>
        <v>ALL</v>
      </c>
      <c r="K60" s="165">
        <f>C60/VLOOKUP(D60,'Kursy walut'!C:E,2,0)</f>
        <v>9.7720825589357343</v>
      </c>
      <c r="L60" s="52" t="s">
        <v>86</v>
      </c>
      <c r="M60" s="165">
        <f>C60/VLOOKUP(D60,'Kursy walut'!C:E,3,0)</f>
        <v>9.99</v>
      </c>
      <c r="N60" s="52" t="s">
        <v>85</v>
      </c>
    </row>
    <row r="61" spans="1:14" ht="13" x14ac:dyDescent="0.15">
      <c r="A61" s="52" t="s">
        <v>56</v>
      </c>
      <c r="B61" s="14" t="str">
        <f ca="1">VLOOKUP(A61,'Country Names'!$1:$1000,2,0)</f>
        <v>North Macedonia</v>
      </c>
      <c r="C61" s="177">
        <v>9.99</v>
      </c>
      <c r="D61" s="14" t="s">
        <v>85</v>
      </c>
      <c r="E61" s="14" t="str">
        <f>VLOOKUP(A61,'Kursy walut'!A:E,3,0)</f>
        <v>MKD</v>
      </c>
      <c r="G61" s="52" t="s">
        <v>56</v>
      </c>
      <c r="H61" s="14" t="str">
        <f ca="1">VLOOKUP(G61,'Country Names'!$1:$1000,2,0)</f>
        <v>North Macedonia</v>
      </c>
      <c r="I61" s="174">
        <f>IF(D61="USD",C61*VLOOKUP(J61,'Kursy walut'!C:E,2,0),IF(D61="EUR",C61*VLOOKUP(J61,'Kursy walut'!C:E,3,0),C61))</f>
        <v>615.41397000000006</v>
      </c>
      <c r="J61" s="14" t="str">
        <f>VLOOKUP(A61,'Kursy walut'!A:E,3,0)</f>
        <v>MKD</v>
      </c>
      <c r="K61" s="165">
        <f>C61/VLOOKUP(D61,'Kursy walut'!C:E,2,0)</f>
        <v>9.7720825589357343</v>
      </c>
      <c r="L61" s="52" t="s">
        <v>86</v>
      </c>
      <c r="M61" s="165">
        <f>C61/VLOOKUP(D61,'Kursy walut'!C:E,3,0)</f>
        <v>9.99</v>
      </c>
      <c r="N61" s="52" t="s">
        <v>85</v>
      </c>
    </row>
    <row r="62" spans="1:14" ht="13" x14ac:dyDescent="0.15">
      <c r="A62" s="52" t="s">
        <v>54</v>
      </c>
      <c r="B62" s="14" t="str">
        <f ca="1">VLOOKUP(A62,'Country Names'!$1:$1000,2,0)</f>
        <v>Bulgaria</v>
      </c>
      <c r="C62" s="177">
        <v>9.99</v>
      </c>
      <c r="D62" s="14" t="s">
        <v>85</v>
      </c>
      <c r="E62" s="14" t="str">
        <f>VLOOKUP(A62,'Kursy walut'!A:E,3,0)</f>
        <v>BGN</v>
      </c>
      <c r="G62" s="52" t="s">
        <v>54</v>
      </c>
      <c r="H62" s="14" t="str">
        <f ca="1">VLOOKUP(G62,'Country Names'!$1:$1000,2,0)</f>
        <v>Bulgaria</v>
      </c>
      <c r="I62" s="174">
        <f>IF(D62="USD",C62*VLOOKUP(J62,'Kursy walut'!C:E,2,0),IF(D62="EUR",C62*VLOOKUP(J62,'Kursy walut'!C:E,3,0),C62))</f>
        <v>19.538442</v>
      </c>
      <c r="J62" s="14" t="str">
        <f>VLOOKUP(A62,'Kursy walut'!A:E,3,0)</f>
        <v>BGN</v>
      </c>
      <c r="K62" s="165">
        <f>C62/VLOOKUP(D62,'Kursy walut'!C:E,2,0)</f>
        <v>9.7720825589357343</v>
      </c>
      <c r="L62" s="52" t="s">
        <v>86</v>
      </c>
      <c r="M62" s="165">
        <f>C62/VLOOKUP(D62,'Kursy walut'!C:E,3,0)</f>
        <v>9.99</v>
      </c>
      <c r="N62" s="52" t="s">
        <v>85</v>
      </c>
    </row>
    <row r="63" spans="1:14" ht="13" x14ac:dyDescent="0.15">
      <c r="A63" s="52" t="s">
        <v>76</v>
      </c>
      <c r="B63" s="14" t="str">
        <f ca="1">VLOOKUP(A63,'Country Names'!$1:$1000,2,0)</f>
        <v>Indonesia</v>
      </c>
      <c r="C63" s="176">
        <v>49999</v>
      </c>
      <c r="D63" s="52" t="s">
        <v>125</v>
      </c>
      <c r="E63" s="14" t="str">
        <f>VLOOKUP(A63,'Kursy walut'!A:E,3,0)</f>
        <v>IDR</v>
      </c>
      <c r="G63" s="52" t="s">
        <v>76</v>
      </c>
      <c r="H63" s="14" t="str">
        <f ca="1">VLOOKUP(G63,'Country Names'!$1:$1000,2,0)</f>
        <v>Indonesia</v>
      </c>
      <c r="I63" s="174">
        <f>IF(D63="USD",C63*VLOOKUP(J63,'Kursy walut'!C:E,2,0),IF(D63="EUR",C63*VLOOKUP(J63,'Kursy walut'!C:E,3,0),C63))</f>
        <v>49999</v>
      </c>
      <c r="J63" s="14" t="str">
        <f>VLOOKUP(A63,'Kursy walut'!A:E,3,0)</f>
        <v>IDR</v>
      </c>
      <c r="K63" s="165">
        <f>C63/VLOOKUP(D63,'Kursy walut'!C:E,2,0)</f>
        <v>3.2684824465221616</v>
      </c>
      <c r="L63" s="52" t="s">
        <v>86</v>
      </c>
      <c r="M63" s="165">
        <f>C63/VLOOKUP(D63,'Kursy walut'!C:E,3,0)</f>
        <v>3.3368326284689571</v>
      </c>
      <c r="N63" s="52" t="s">
        <v>85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P10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12.6640625" defaultRowHeight="15.75" customHeight="1" x14ac:dyDescent="0.15"/>
  <sheetData>
    <row r="1" spans="1:16" ht="15.75" customHeight="1" x14ac:dyDescent="0.15">
      <c r="A1" s="66" t="s">
        <v>501</v>
      </c>
      <c r="B1" s="66" t="s">
        <v>502</v>
      </c>
      <c r="C1" s="66"/>
      <c r="D1" s="66" t="s">
        <v>510</v>
      </c>
      <c r="E1" s="66"/>
      <c r="F1" s="66" t="s">
        <v>903</v>
      </c>
      <c r="G1" s="52" t="s">
        <v>507</v>
      </c>
      <c r="H1" s="77"/>
      <c r="I1" s="66" t="s">
        <v>501</v>
      </c>
      <c r="J1" s="66" t="s">
        <v>502</v>
      </c>
      <c r="K1" s="66" t="s">
        <v>510</v>
      </c>
      <c r="L1" s="52" t="s">
        <v>509</v>
      </c>
      <c r="M1" s="52" t="s">
        <v>510</v>
      </c>
      <c r="N1" s="52" t="s">
        <v>86</v>
      </c>
      <c r="O1" s="52" t="s">
        <v>510</v>
      </c>
      <c r="P1" s="52" t="s">
        <v>85</v>
      </c>
    </row>
    <row r="2" spans="1:16" ht="15.75" customHeight="1" x14ac:dyDescent="0.15">
      <c r="A2" s="86" t="s">
        <v>520</v>
      </c>
      <c r="B2" s="111" t="s">
        <v>521</v>
      </c>
      <c r="C2" s="111"/>
      <c r="D2" s="125"/>
      <c r="E2" s="125"/>
      <c r="F2" s="89" t="s">
        <v>525</v>
      </c>
      <c r="G2" s="89" t="s">
        <v>525</v>
      </c>
      <c r="H2" s="77"/>
      <c r="I2" s="86" t="s">
        <v>520</v>
      </c>
      <c r="J2" s="111" t="s">
        <v>521</v>
      </c>
      <c r="K2" s="164" t="str">
        <f ca="1">IFERROR(__xludf.DUMMYFUNCTION("IF(F2=G2,D2,GOOGLEFINANCE(CONCATENATE(F2,G2))*D2)"),"")</f>
        <v/>
      </c>
      <c r="L2" s="76" t="s">
        <v>525</v>
      </c>
      <c r="M2" s="165">
        <f ca="1">IFERROR(__xludf.DUMMYFUNCTION("VALUE(IF(F2=""USD"",D2,IF(F2=""EUR"",D2/GOOGLEFINANCE(CONCATENATE(N2,P2)),IF(F2=G2,D2/GOOGLEFINANCE(CONCATENATE(N2,L2))))))"),0)</f>
        <v>0</v>
      </c>
      <c r="N2" s="52" t="s">
        <v>86</v>
      </c>
      <c r="O2" s="165">
        <f ca="1">IFERROR(__xludf.DUMMYFUNCTION("VALUE(IF(F2=""EUR"",D2,IF(F2=""USD"",GOOGLEFINANCE(CONCATENATE(N2,P2))*D2,IF(F2=G2,D2/GOOGLEFINANCE(CONCATENATE(P2,L2))))))"),0)</f>
        <v>0</v>
      </c>
      <c r="P2" s="52" t="s">
        <v>85</v>
      </c>
    </row>
    <row r="3" spans="1:16" ht="15.75" customHeight="1" x14ac:dyDescent="0.15">
      <c r="A3" s="86" t="s">
        <v>52</v>
      </c>
      <c r="B3" s="87" t="s">
        <v>88</v>
      </c>
      <c r="C3" s="87"/>
      <c r="D3" s="125"/>
      <c r="E3" s="125"/>
      <c r="F3" s="89" t="s">
        <v>89</v>
      </c>
      <c r="G3" s="89" t="s">
        <v>89</v>
      </c>
      <c r="H3" s="77"/>
      <c r="I3" s="86" t="s">
        <v>52</v>
      </c>
      <c r="J3" s="87" t="s">
        <v>88</v>
      </c>
      <c r="K3" s="164" t="str">
        <f ca="1">IFERROR(__xludf.DUMMYFUNCTION("IF(F3=G3,D3,GOOGLEFINANCE(CONCATENATE(F3,G3))*D3)"),"")</f>
        <v/>
      </c>
      <c r="L3" s="76" t="s">
        <v>89</v>
      </c>
      <c r="M3" s="165">
        <f ca="1">IFERROR(__xludf.DUMMYFUNCTION("VALUE(IF(F3=""USD"",D3,IF(F3=""EUR"",D3/GOOGLEFINANCE(CONCATENATE(N3,P3)),IF(F3=G3,D3/GOOGLEFINANCE(CONCATENATE(N3,L3))))))"),0)</f>
        <v>0</v>
      </c>
      <c r="N3" s="52" t="s">
        <v>86</v>
      </c>
      <c r="O3" s="165">
        <f ca="1">IFERROR(__xludf.DUMMYFUNCTION("VALUE(IF(F3=""EUR"",D3,IF(F3=""USD"",GOOGLEFINANCE(CONCATENATE(N3,P3))*D3,IF(F3=G3,D3/GOOGLEFINANCE(CONCATENATE(P3,L3))))))"),0)</f>
        <v>0</v>
      </c>
      <c r="P3" s="52" t="s">
        <v>85</v>
      </c>
    </row>
    <row r="4" spans="1:16" ht="15.75" customHeight="1" x14ac:dyDescent="0.15">
      <c r="A4" s="86" t="s">
        <v>588</v>
      </c>
      <c r="B4" s="87" t="s">
        <v>589</v>
      </c>
      <c r="C4" s="87"/>
      <c r="D4" s="125"/>
      <c r="E4" s="125"/>
      <c r="F4" s="89" t="s">
        <v>280</v>
      </c>
      <c r="G4" s="89" t="s">
        <v>280</v>
      </c>
      <c r="H4" s="77"/>
      <c r="I4" s="86" t="s">
        <v>588</v>
      </c>
      <c r="J4" s="87" t="s">
        <v>589</v>
      </c>
      <c r="K4" s="164" t="str">
        <f ca="1">IFERROR(__xludf.DUMMYFUNCTION("IF(F4=G4,D4,GOOGLEFINANCE(CONCATENATE(F4,G4))*D4)"),"")</f>
        <v/>
      </c>
      <c r="L4" s="76" t="s">
        <v>280</v>
      </c>
      <c r="M4" s="165">
        <f ca="1">IFERROR(__xludf.DUMMYFUNCTION("VALUE(IF(F4=""USD"",D4,IF(F4=""EUR"",D4/GOOGLEFINANCE(CONCATENATE(N4,P4)),IF(F4=G4,D4/GOOGLEFINANCE(CONCATENATE(N4,L4))))))"),0)</f>
        <v>0</v>
      </c>
      <c r="N4" s="52" t="s">
        <v>86</v>
      </c>
      <c r="O4" s="165">
        <f ca="1">IFERROR(__xludf.DUMMYFUNCTION("VALUE(IF(F4=""EUR"",D4,IF(F4=""USD"",GOOGLEFINANCE(CONCATENATE(N4,P4))*D4,IF(F4=G4,D4/GOOGLEFINANCE(CONCATENATE(P4,L4))))))"),0)</f>
        <v>0</v>
      </c>
      <c r="P4" s="52" t="s">
        <v>85</v>
      </c>
    </row>
    <row r="5" spans="1:16" ht="15.75" customHeight="1" x14ac:dyDescent="0.15">
      <c r="A5" s="86" t="s">
        <v>511</v>
      </c>
      <c r="B5" s="87" t="s">
        <v>512</v>
      </c>
      <c r="C5" s="87"/>
      <c r="D5" s="125"/>
      <c r="E5" s="125"/>
      <c r="F5" s="89" t="s">
        <v>85</v>
      </c>
      <c r="G5" s="89" t="s">
        <v>85</v>
      </c>
      <c r="H5" s="77"/>
      <c r="I5" s="86" t="s">
        <v>511</v>
      </c>
      <c r="J5" s="87" t="s">
        <v>512</v>
      </c>
      <c r="K5" s="164" t="str">
        <f ca="1">IFERROR(__xludf.DUMMYFUNCTION("IF(F5=G5,D5,GOOGLEFINANCE(CONCATENATE(F5,G5))*D5)"),"")</f>
        <v/>
      </c>
      <c r="L5" s="76" t="s">
        <v>85</v>
      </c>
      <c r="M5" s="165">
        <f ca="1">IFERROR(__xludf.DUMMYFUNCTION("VALUE(IF(F5=""USD"",D5,IF(F5=""EUR"",D5/GOOGLEFINANCE(CONCATENATE(N5,P5)),IF(F5=G5,D5/GOOGLEFINANCE(CONCATENATE(N5,L5))))))"),0)</f>
        <v>0</v>
      </c>
      <c r="N5" s="52" t="s">
        <v>86</v>
      </c>
      <c r="O5" s="165">
        <f ca="1">IFERROR(__xludf.DUMMYFUNCTION("VALUE(IF(F5=""EUR"",D5,IF(F5=""USD"",GOOGLEFINANCE(CONCATENATE(N5,P5))*D5,IF(F5=G5,D5/GOOGLEFINANCE(CONCATENATE(P5,L5))))))"),0)</f>
        <v>0</v>
      </c>
      <c r="P5" s="52" t="s">
        <v>85</v>
      </c>
    </row>
    <row r="6" spans="1:16" ht="15.75" customHeight="1" x14ac:dyDescent="0.15">
      <c r="A6" s="73" t="s">
        <v>83</v>
      </c>
      <c r="B6" s="182" t="s">
        <v>90</v>
      </c>
      <c r="C6" s="182"/>
      <c r="D6" s="131" t="s">
        <v>904</v>
      </c>
      <c r="E6" s="131"/>
      <c r="F6" s="76" t="s">
        <v>91</v>
      </c>
      <c r="G6" s="76" t="s">
        <v>91</v>
      </c>
      <c r="H6" s="77"/>
      <c r="I6" s="73" t="s">
        <v>83</v>
      </c>
      <c r="J6" s="182" t="s">
        <v>90</v>
      </c>
      <c r="K6" s="164" t="str">
        <f ca="1">IFERROR(__xludf.DUMMYFUNCTION("IF(F6=G6,D6,GOOGLEFINANCE(CONCATENATE(F6,G6))*D6)"),"119.00")</f>
        <v>119.00</v>
      </c>
      <c r="L6" s="76" t="s">
        <v>91</v>
      </c>
      <c r="M6" s="165">
        <f ca="1">IFERROR(__xludf.DUMMYFUNCTION("VALUE(IF(F6=""USD"",D6,IF(F6=""EUR"",D6/GOOGLEFINANCE(CONCATENATE(N6,P6)),IF(F6=G6,D6/GOOGLEFINANCE(CONCATENATE(N6,L6))))))"),0.7737019362)</f>
        <v>0.77370193620000005</v>
      </c>
      <c r="N6" s="52" t="s">
        <v>86</v>
      </c>
      <c r="O6" s="165">
        <f ca="1">IFERROR(__xludf.DUMMYFUNCTION("VALUE(IF(F6=""EUR"",D6,IF(F6=""USD"",GOOGLEFINANCE(CONCATENATE(N6,P6))*D6,IF(F6=G6,D6/GOOGLEFINANCE(CONCATENATE(P6,L6))))))"),0.7862876716)</f>
        <v>0.78628767160000002</v>
      </c>
      <c r="P6" s="52" t="s">
        <v>85</v>
      </c>
    </row>
    <row r="7" spans="1:16" ht="15.75" customHeight="1" x14ac:dyDescent="0.15">
      <c r="A7" s="86" t="s">
        <v>528</v>
      </c>
      <c r="B7" s="87" t="s">
        <v>216</v>
      </c>
      <c r="C7" s="87"/>
      <c r="D7" s="125"/>
      <c r="E7" s="125"/>
      <c r="F7" s="89" t="s">
        <v>217</v>
      </c>
      <c r="G7" s="89" t="s">
        <v>217</v>
      </c>
      <c r="H7" s="77"/>
      <c r="I7" s="86" t="s">
        <v>528</v>
      </c>
      <c r="J7" s="87" t="s">
        <v>216</v>
      </c>
      <c r="K7" s="164" t="str">
        <f ca="1">IFERROR(__xludf.DUMMYFUNCTION("IF(F7=G7,D7,GOOGLEFINANCE(CONCATENATE(F7,G7))*D7)"),"")</f>
        <v/>
      </c>
      <c r="L7" s="76" t="s">
        <v>217</v>
      </c>
      <c r="M7" s="165">
        <f ca="1">IFERROR(__xludf.DUMMYFUNCTION("VALUE(IF(F7=""USD"",D7,IF(F7=""EUR"",D7/GOOGLEFINANCE(CONCATENATE(N7,P7)),IF(F7=G7,D7/GOOGLEFINANCE(CONCATENATE(N7,L7))))))"),0)</f>
        <v>0</v>
      </c>
      <c r="N7" s="52" t="s">
        <v>86</v>
      </c>
      <c r="O7" s="165">
        <f ca="1">IFERROR(__xludf.DUMMYFUNCTION("VALUE(IF(F7=""EUR"",D7,IF(F7=""USD"",GOOGLEFINANCE(CONCATENATE(N7,P7))*D7,IF(F7=G7,D7/GOOGLEFINANCE(CONCATENATE(P7,L7))))))"),0)</f>
        <v>0</v>
      </c>
      <c r="P7" s="52" t="s">
        <v>85</v>
      </c>
    </row>
    <row r="8" spans="1:16" ht="15.75" customHeight="1" x14ac:dyDescent="0.15">
      <c r="A8" s="73" t="s">
        <v>57</v>
      </c>
      <c r="B8" s="182" t="s">
        <v>92</v>
      </c>
      <c r="C8" s="182"/>
      <c r="D8" s="131" t="s">
        <v>615</v>
      </c>
      <c r="E8" s="131"/>
      <c r="F8" s="76" t="s">
        <v>93</v>
      </c>
      <c r="G8" s="76" t="s">
        <v>93</v>
      </c>
      <c r="H8" s="77"/>
      <c r="I8" s="73" t="s">
        <v>57</v>
      </c>
      <c r="J8" s="182" t="s">
        <v>92</v>
      </c>
      <c r="K8" s="164" t="str">
        <f ca="1">IFERROR(__xludf.DUMMYFUNCTION("IF(F8=G8,D8,GOOGLEFINANCE(CONCATENATE(F8,G8))*D8)"),"14.99")</f>
        <v>14.99</v>
      </c>
      <c r="L8" s="76" t="s">
        <v>93</v>
      </c>
      <c r="M8" s="165">
        <f ca="1">IFERROR(__xludf.DUMMYFUNCTION("VALUE(IF(F8=""USD"",D8,IF(F8=""EUR"",D8/GOOGLEFINANCE(CONCATENATE(N8,P8)),IF(F8=G8,D8/GOOGLEFINANCE(CONCATENATE(N8,L8))))))"),9.463563073)</f>
        <v>9.4635630729999995</v>
      </c>
      <c r="N8" s="52" t="s">
        <v>86</v>
      </c>
      <c r="O8" s="165">
        <f ca="1">IFERROR(__xludf.DUMMYFUNCTION("VALUE(IF(F8=""EUR"",D8,IF(F8=""USD"",GOOGLEFINANCE(CONCATENATE(N8,P8))*D8,IF(F8=G8,D8/GOOGLEFINANCE(CONCATENATE(P8,L8))))))"),9.615107071)</f>
        <v>9.6151070710000006</v>
      </c>
      <c r="P8" s="52" t="s">
        <v>85</v>
      </c>
    </row>
    <row r="9" spans="1:16" ht="15.75" customHeight="1" x14ac:dyDescent="0.15">
      <c r="A9" s="73" t="s">
        <v>28</v>
      </c>
      <c r="B9" s="182" t="s">
        <v>94</v>
      </c>
      <c r="C9" s="182"/>
      <c r="D9" s="131" t="s">
        <v>595</v>
      </c>
      <c r="E9" s="131"/>
      <c r="F9" s="76" t="s">
        <v>85</v>
      </c>
      <c r="G9" s="76" t="s">
        <v>85</v>
      </c>
      <c r="H9" s="77"/>
      <c r="I9" s="73" t="s">
        <v>28</v>
      </c>
      <c r="J9" s="182" t="s">
        <v>94</v>
      </c>
      <c r="K9" s="164" t="str">
        <f ca="1">IFERROR(__xludf.DUMMYFUNCTION("IF(F9=G9,D9,GOOGLEFINANCE(CONCATENATE(F9,G9))*D9)"),"11.99")</f>
        <v>11.99</v>
      </c>
      <c r="L9" s="76" t="s">
        <v>85</v>
      </c>
      <c r="M9" s="165">
        <f ca="1">IFERROR(__xludf.DUMMYFUNCTION("VALUE(IF(F9=""USD"",D9,IF(F9=""EUR"",D9/GOOGLEFINANCE(CONCATENATE(N9,P9)),IF(F9=G9,D9/GOOGLEFINANCE(CONCATENATE(N9,L9))))))"),11.79682696)</f>
        <v>11.796826960000001</v>
      </c>
      <c r="N9" s="52" t="s">
        <v>86</v>
      </c>
      <c r="O9" s="165">
        <f ca="1">IFERROR(__xludf.DUMMYFUNCTION("VALUE(IF(F9=""EUR"",D9,IF(F9=""USD"",GOOGLEFINANCE(CONCATENATE(N9,P9))*D9,IF(F9=G9,D9/GOOGLEFINANCE(CONCATENATE(P9,L9))))))"),11.99)</f>
        <v>11.99</v>
      </c>
      <c r="P9" s="52" t="s">
        <v>85</v>
      </c>
    </row>
    <row r="10" spans="1:16" ht="15.75" customHeight="1" x14ac:dyDescent="0.15">
      <c r="A10" s="86" t="s">
        <v>535</v>
      </c>
      <c r="B10" s="87" t="s">
        <v>536</v>
      </c>
      <c r="C10" s="87"/>
      <c r="D10" s="125"/>
      <c r="E10" s="125"/>
      <c r="F10" s="89" t="s">
        <v>224</v>
      </c>
      <c r="G10" s="89" t="s">
        <v>224</v>
      </c>
      <c r="H10" s="77"/>
      <c r="I10" s="86" t="s">
        <v>535</v>
      </c>
      <c r="J10" s="87" t="s">
        <v>536</v>
      </c>
      <c r="K10" s="164" t="str">
        <f ca="1">IFERROR(__xludf.DUMMYFUNCTION("IF(F10=G10,D10,GOOGLEFINANCE(CONCATENATE(F10,G10))*D10)"),"")</f>
        <v/>
      </c>
      <c r="L10" s="76" t="s">
        <v>224</v>
      </c>
      <c r="M10" s="165">
        <f ca="1">IFERROR(__xludf.DUMMYFUNCTION("VALUE(IF(F10=""USD"",D10,IF(F10=""EUR"",D10/GOOGLEFINANCE(CONCATENATE(N10,P10)),IF(F10=G10,D10/GOOGLEFINANCE(CONCATENATE(N10,L10))))))"),0)</f>
        <v>0</v>
      </c>
      <c r="N10" s="52" t="s">
        <v>86</v>
      </c>
      <c r="O10" s="165">
        <f ca="1">IFERROR(__xludf.DUMMYFUNCTION("VALUE(IF(F10=""EUR"",D10,IF(F10=""USD"",GOOGLEFINANCE(CONCATENATE(N10,P10))*D10,IF(F10=G10,D10/GOOGLEFINANCE(CONCATENATE(P10,L10))))))"),0)</f>
        <v>0</v>
      </c>
      <c r="P10" s="52" t="s">
        <v>85</v>
      </c>
    </row>
    <row r="11" spans="1:16" ht="15.75" customHeight="1" x14ac:dyDescent="0.15">
      <c r="A11" s="73" t="s">
        <v>547</v>
      </c>
      <c r="B11" s="182" t="s">
        <v>548</v>
      </c>
      <c r="C11" s="182"/>
      <c r="E11" s="52"/>
      <c r="F11" s="76" t="s">
        <v>244</v>
      </c>
      <c r="G11" s="76" t="s">
        <v>244</v>
      </c>
      <c r="H11" s="77"/>
      <c r="I11" s="73" t="s">
        <v>547</v>
      </c>
      <c r="J11" s="182" t="s">
        <v>548</v>
      </c>
      <c r="K11" s="164" t="str">
        <f ca="1">IFERROR(__xludf.DUMMYFUNCTION("IF(F11=G11,D11,GOOGLEFINANCE(CONCATENATE(F11,G11))*D11)"),"")</f>
        <v/>
      </c>
      <c r="L11" s="76" t="s">
        <v>244</v>
      </c>
      <c r="M11" s="165">
        <f ca="1">IFERROR(__xludf.DUMMYFUNCTION("VALUE(IF(F11=""USD"",D11,IF(F11=""EUR"",D11/GOOGLEFINANCE(CONCATENATE(N11,P11)),IF(F11=G11,D11/GOOGLEFINANCE(CONCATENATE(N11,L11))))))"),0)</f>
        <v>0</v>
      </c>
      <c r="N11" s="52" t="s">
        <v>86</v>
      </c>
      <c r="O11" s="165">
        <f ca="1">IFERROR(__xludf.DUMMYFUNCTION("VALUE(IF(F11=""EUR"",D11,IF(F11=""USD"",GOOGLEFINANCE(CONCATENATE(N11,P11))*D11,IF(F11=G11,D11/GOOGLEFINANCE(CONCATENATE(P11,L11))))))"),0)</f>
        <v>0</v>
      </c>
      <c r="P11" s="52" t="s">
        <v>85</v>
      </c>
    </row>
    <row r="12" spans="1:16" ht="15.75" customHeight="1" x14ac:dyDescent="0.15">
      <c r="A12" s="73" t="s">
        <v>537</v>
      </c>
      <c r="B12" s="182" t="s">
        <v>538</v>
      </c>
      <c r="C12" s="182"/>
      <c r="D12" s="131" t="s">
        <v>841</v>
      </c>
      <c r="E12" s="131"/>
      <c r="F12" s="76" t="s">
        <v>85</v>
      </c>
      <c r="G12" s="76" t="s">
        <v>85</v>
      </c>
      <c r="H12" s="77"/>
      <c r="I12" s="73" t="s">
        <v>537</v>
      </c>
      <c r="J12" s="182" t="s">
        <v>538</v>
      </c>
      <c r="K12" s="164" t="str">
        <f ca="1">IFERROR(__xludf.DUMMYFUNCTION("IF(F12=G12,D12,GOOGLEFINANCE(CONCATENATE(F12,G12))*D12)"),"6.99")</f>
        <v>6.99</v>
      </c>
      <c r="L12" s="76" t="s">
        <v>85</v>
      </c>
      <c r="M12" s="165">
        <f ca="1">IFERROR(__xludf.DUMMYFUNCTION("VALUE(IF(F12=""USD"",D12,IF(F12=""EUR"",D12/GOOGLEFINANCE(CONCATENATE(N12,P12)),IF(F12=G12,D12/GOOGLEFINANCE(CONCATENATE(N12,L12))))))"),6.877382856)</f>
        <v>6.8773828559999997</v>
      </c>
      <c r="N12" s="52" t="s">
        <v>86</v>
      </c>
      <c r="O12" s="165">
        <f ca="1">IFERROR(__xludf.DUMMYFUNCTION("VALUE(IF(F12=""EUR"",D12,IF(F12=""USD"",GOOGLEFINANCE(CONCATENATE(N12,P12))*D12,IF(F12=G12,D12/GOOGLEFINANCE(CONCATENATE(P12,L12))))))"),6.99)</f>
        <v>6.99</v>
      </c>
      <c r="P12" s="52" t="s">
        <v>85</v>
      </c>
    </row>
    <row r="13" spans="1:16" ht="15.75" customHeight="1" x14ac:dyDescent="0.15">
      <c r="A13" s="73" t="s">
        <v>541</v>
      </c>
      <c r="B13" s="182" t="s">
        <v>542</v>
      </c>
      <c r="C13" s="182"/>
      <c r="E13" s="52"/>
      <c r="F13" s="76" t="s">
        <v>236</v>
      </c>
      <c r="G13" s="76" t="s">
        <v>236</v>
      </c>
      <c r="H13" s="77"/>
      <c r="I13" s="73" t="s">
        <v>541</v>
      </c>
      <c r="J13" s="182" t="s">
        <v>542</v>
      </c>
      <c r="K13" s="164" t="str">
        <f ca="1">IFERROR(__xludf.DUMMYFUNCTION("IF(F13=G13,D13,GOOGLEFINANCE(CONCATENATE(F13,G13))*D13)"),"")</f>
        <v/>
      </c>
      <c r="L13" s="76" t="s">
        <v>236</v>
      </c>
      <c r="M13" s="165">
        <f ca="1">IFERROR(__xludf.DUMMYFUNCTION("VALUE(IF(F13=""USD"",D13,IF(F13=""EUR"",D13/GOOGLEFINANCE(CONCATENATE(N13,P13)),IF(F13=G13,D13/GOOGLEFINANCE(CONCATENATE(N13,L13))))))"),0)</f>
        <v>0</v>
      </c>
      <c r="N13" s="52" t="s">
        <v>86</v>
      </c>
      <c r="O13" s="165">
        <f ca="1">IFERROR(__xludf.DUMMYFUNCTION("VALUE(IF(F13=""EUR"",D13,IF(F13=""USD"",GOOGLEFINANCE(CONCATENATE(N13,P13))*D13,IF(F13=G13,D13/GOOGLEFINANCE(CONCATENATE(P13,L13))))))"),0)</f>
        <v>0</v>
      </c>
      <c r="P13" s="52" t="s">
        <v>85</v>
      </c>
    </row>
    <row r="14" spans="1:16" ht="15.75" customHeight="1" x14ac:dyDescent="0.15">
      <c r="A14" s="73" t="s">
        <v>53</v>
      </c>
      <c r="B14" s="182" t="s">
        <v>95</v>
      </c>
      <c r="C14" s="182"/>
      <c r="E14" s="52"/>
      <c r="F14" s="76" t="s">
        <v>96</v>
      </c>
      <c r="G14" s="76" t="s">
        <v>96</v>
      </c>
      <c r="H14" s="77"/>
      <c r="I14" s="73" t="s">
        <v>53</v>
      </c>
      <c r="J14" s="182" t="s">
        <v>95</v>
      </c>
      <c r="K14" s="164" t="str">
        <f ca="1">IFERROR(__xludf.DUMMYFUNCTION("IF(F14=G14,D14,GOOGLEFINANCE(CONCATENATE(F14,G14))*D14)"),"")</f>
        <v/>
      </c>
      <c r="L14" s="76" t="s">
        <v>96</v>
      </c>
      <c r="M14" s="165">
        <f ca="1">IFERROR(__xludf.DUMMYFUNCTION("VALUE(IF(F14=""USD"",D14,IF(F14=""EUR"",D14/GOOGLEFINANCE(CONCATENATE(N14,P14)),IF(F14=G14,D14/GOOGLEFINANCE(CONCATENATE(N14,L14))))))"),0)</f>
        <v>0</v>
      </c>
      <c r="N14" s="52" t="s">
        <v>86</v>
      </c>
      <c r="O14" s="165">
        <f ca="1">IFERROR(__xludf.DUMMYFUNCTION("VALUE(IF(F14=""EUR"",D14,IF(F14=""USD"",GOOGLEFINANCE(CONCATENATE(N14,P14))*D14,IF(F14=G14,D14/GOOGLEFINANCE(CONCATENATE(P14,L14))))))"),0)</f>
        <v>0</v>
      </c>
      <c r="P14" s="52" t="s">
        <v>85</v>
      </c>
    </row>
    <row r="15" spans="1:16" ht="15.75" customHeight="1" x14ac:dyDescent="0.15">
      <c r="A15" s="73" t="s">
        <v>77</v>
      </c>
      <c r="B15" s="182" t="s">
        <v>97</v>
      </c>
      <c r="C15" s="182"/>
      <c r="D15" s="131" t="s">
        <v>905</v>
      </c>
      <c r="E15" s="131"/>
      <c r="F15" s="76" t="s">
        <v>98</v>
      </c>
      <c r="G15" s="76" t="s">
        <v>98</v>
      </c>
      <c r="H15" s="77"/>
      <c r="I15" s="73" t="s">
        <v>77</v>
      </c>
      <c r="J15" s="182" t="s">
        <v>97</v>
      </c>
      <c r="K15" s="164" t="str">
        <f ca="1">IFERROR(__xludf.DUMMYFUNCTION("IF(F15=G15,D15,GOOGLEFINANCE(CONCATENATE(F15,G15))*D15)"),"20.90")</f>
        <v>20.90</v>
      </c>
      <c r="L15" s="76" t="s">
        <v>98</v>
      </c>
      <c r="M15" s="165">
        <f ca="1">IFERROR(__xludf.DUMMYFUNCTION("VALUE(IF(F15=""USD"",D15,IF(F15=""EUR"",D15/GOOGLEFINANCE(CONCATENATE(N15,P15)),IF(F15=G15,D15/GOOGLEFINANCE(CONCATENATE(N15,L15))))))"),4.04630992)</f>
        <v>4.0463099199999997</v>
      </c>
      <c r="N15" s="52" t="s">
        <v>86</v>
      </c>
      <c r="O15" s="165">
        <f ca="1">IFERROR(__xludf.DUMMYFUNCTION("VALUE(IF(F15=""EUR"",D15,IF(F15=""USD"",GOOGLEFINANCE(CONCATENATE(N15,P15))*D15,IF(F15=G15,D15/GOOGLEFINANCE(CONCATENATE(P15,L15))))))"),4.112354331)</f>
        <v>4.1123543309999997</v>
      </c>
      <c r="P15" s="52" t="s">
        <v>85</v>
      </c>
    </row>
    <row r="16" spans="1:16" ht="15.75" customHeight="1" x14ac:dyDescent="0.15">
      <c r="A16" s="73" t="s">
        <v>54</v>
      </c>
      <c r="B16" s="182" t="s">
        <v>99</v>
      </c>
      <c r="C16" s="182"/>
      <c r="D16" s="131" t="s">
        <v>532</v>
      </c>
      <c r="E16" s="131"/>
      <c r="F16" s="76" t="s">
        <v>100</v>
      </c>
      <c r="G16" s="76" t="s">
        <v>100</v>
      </c>
      <c r="H16" s="77"/>
      <c r="I16" s="73" t="s">
        <v>54</v>
      </c>
      <c r="J16" s="182" t="s">
        <v>99</v>
      </c>
      <c r="K16" s="164" t="str">
        <f ca="1">IFERROR(__xludf.DUMMYFUNCTION("IF(F16=G16,D16,GOOGLEFINANCE(CONCATENATE(F16,G16))*D16)"),"10.99")</f>
        <v>10.99</v>
      </c>
      <c r="L16" s="76" t="s">
        <v>100</v>
      </c>
      <c r="M16" s="165">
        <f ca="1">IFERROR(__xludf.DUMMYFUNCTION("VALUE(IF(F16=""USD"",D16,IF(F16=""EUR"",D16/GOOGLEFINANCE(CONCATENATE(N16,P16)),IF(F16=G16,D16/GOOGLEFINANCE(CONCATENATE(N16,L16))))))"),5.532816803)</f>
        <v>5.5328168030000002</v>
      </c>
      <c r="N16" s="52" t="s">
        <v>86</v>
      </c>
      <c r="O16" s="165">
        <f ca="1">IFERROR(__xludf.DUMMYFUNCTION("VALUE(IF(F16=""EUR"",D16,IF(F16=""USD"",GOOGLEFINANCE(CONCATENATE(N16,P16))*D16,IF(F16=G16,D16/GOOGLEFINANCE(CONCATENATE(P16,L16))))))"),5.623124178)</f>
        <v>5.6231241780000003</v>
      </c>
      <c r="P16" s="52" t="s">
        <v>85</v>
      </c>
    </row>
    <row r="17" spans="1:16" ht="15.75" customHeight="1" x14ac:dyDescent="0.15">
      <c r="A17" s="86" t="s">
        <v>642</v>
      </c>
      <c r="B17" s="87" t="s">
        <v>643</v>
      </c>
      <c r="C17" s="87"/>
      <c r="D17" s="125"/>
      <c r="E17" s="125"/>
      <c r="F17" s="89" t="s">
        <v>347</v>
      </c>
      <c r="G17" s="89" t="s">
        <v>347</v>
      </c>
      <c r="H17" s="77"/>
      <c r="I17" s="86" t="s">
        <v>642</v>
      </c>
      <c r="J17" s="87" t="s">
        <v>643</v>
      </c>
      <c r="K17" s="164" t="str">
        <f ca="1">IFERROR(__xludf.DUMMYFUNCTION("IF(F17=G17,D17,GOOGLEFINANCE(CONCATENATE(F17,G17))*D17)"),"")</f>
        <v/>
      </c>
      <c r="L17" s="76" t="s">
        <v>347</v>
      </c>
      <c r="M17" s="165">
        <f ca="1">IFERROR(__xludf.DUMMYFUNCTION("VALUE(IF(F17=""USD"",D17,IF(F17=""EUR"",D17/GOOGLEFINANCE(CONCATENATE(N17,P17)),IF(F17=G17,D17/GOOGLEFINANCE(CONCATENATE(N17,L17))))))"),0)</f>
        <v>0</v>
      </c>
      <c r="N17" s="52" t="s">
        <v>86</v>
      </c>
      <c r="O17" s="165">
        <f ca="1">IFERROR(__xludf.DUMMYFUNCTION("VALUE(IF(F17=""EUR"",D17,IF(F17=""USD"",GOOGLEFINANCE(CONCATENATE(N17,P17))*D17,IF(F17=G17,D17/GOOGLEFINANCE(CONCATENATE(P17,L17))))))"),0)</f>
        <v>0</v>
      </c>
      <c r="P17" s="52" t="s">
        <v>85</v>
      </c>
    </row>
    <row r="18" spans="1:16" ht="15.75" customHeight="1" x14ac:dyDescent="0.15">
      <c r="A18" s="86" t="s">
        <v>560</v>
      </c>
      <c r="B18" s="87" t="s">
        <v>561</v>
      </c>
      <c r="C18" s="87"/>
      <c r="D18" s="125"/>
      <c r="E18" s="125"/>
      <c r="F18" s="89" t="s">
        <v>255</v>
      </c>
      <c r="G18" s="89" t="s">
        <v>255</v>
      </c>
      <c r="H18" s="77"/>
      <c r="I18" s="86" t="s">
        <v>560</v>
      </c>
      <c r="J18" s="87" t="s">
        <v>561</v>
      </c>
      <c r="K18" s="164" t="str">
        <f ca="1">IFERROR(__xludf.DUMMYFUNCTION("IF(F18=G18,D18,GOOGLEFINANCE(CONCATENATE(F18,G18))*D18)"),"")</f>
        <v/>
      </c>
      <c r="L18" s="76" t="s">
        <v>255</v>
      </c>
      <c r="M18" s="165">
        <f ca="1">IFERROR(__xludf.DUMMYFUNCTION("VALUE(IF(F18=""USD"",D18,IF(F18=""EUR"",D18/GOOGLEFINANCE(CONCATENATE(N18,P18)),IF(F18=G18,D18/GOOGLEFINANCE(CONCATENATE(N18,L18))))))"),0)</f>
        <v>0</v>
      </c>
      <c r="N18" s="52" t="s">
        <v>86</v>
      </c>
      <c r="O18" s="165">
        <f ca="1">IFERROR(__xludf.DUMMYFUNCTION("VALUE(IF(F18=""EUR"",D18,IF(F18=""USD"",GOOGLEFINANCE(CONCATENATE(N18,P18))*D18,IF(F18=G18,D18/GOOGLEFINANCE(CONCATENATE(P18,L18))))))"),0)</f>
        <v>0</v>
      </c>
      <c r="P18" s="52" t="s">
        <v>85</v>
      </c>
    </row>
    <row r="19" spans="1:16" ht="15.75" customHeight="1" x14ac:dyDescent="0.15">
      <c r="A19" s="73" t="s">
        <v>37</v>
      </c>
      <c r="B19" s="182" t="s">
        <v>101</v>
      </c>
      <c r="C19" s="182"/>
      <c r="D19" s="131" t="s">
        <v>595</v>
      </c>
      <c r="E19" s="131"/>
      <c r="F19" s="76" t="s">
        <v>102</v>
      </c>
      <c r="G19" s="76" t="s">
        <v>102</v>
      </c>
      <c r="H19" s="77"/>
      <c r="I19" s="73" t="s">
        <v>37</v>
      </c>
      <c r="J19" s="182" t="s">
        <v>101</v>
      </c>
      <c r="K19" s="164" t="str">
        <f ca="1">IFERROR(__xludf.DUMMYFUNCTION("IF(F19=G19,D19,GOOGLEFINANCE(CONCATENATE(F19,G19))*D19)"),"11.99")</f>
        <v>11.99</v>
      </c>
      <c r="L19" s="76" t="s">
        <v>102</v>
      </c>
      <c r="M19" s="165">
        <f ca="1">IFERROR(__xludf.DUMMYFUNCTION("VALUE(IF(F19=""USD"",D19,IF(F19=""EUR"",D19/GOOGLEFINANCE(CONCATENATE(N19,P19)),IF(F19=G19,D19/GOOGLEFINANCE(CONCATENATE(N19,L19))))))"),8.74754682)</f>
        <v>8.7475468200000002</v>
      </c>
      <c r="N19" s="52" t="s">
        <v>86</v>
      </c>
      <c r="O19" s="165">
        <f ca="1">IFERROR(__xludf.DUMMYFUNCTION("VALUE(IF(F19=""EUR"",D19,IF(F19=""USD"",GOOGLEFINANCE(CONCATENATE(N19,P19))*D19,IF(F19=G19,D19/GOOGLEFINANCE(CONCATENATE(P19,L19))))))"),8.88911954)</f>
        <v>8.8891195399999994</v>
      </c>
      <c r="P19" s="52" t="s">
        <v>85</v>
      </c>
    </row>
    <row r="20" spans="1:16" ht="15.75" customHeight="1" x14ac:dyDescent="0.15">
      <c r="A20" s="73" t="s">
        <v>68</v>
      </c>
      <c r="B20" s="182" t="s">
        <v>103</v>
      </c>
      <c r="C20" s="182"/>
      <c r="D20" s="131" t="s">
        <v>906</v>
      </c>
      <c r="E20" s="131"/>
      <c r="F20" s="76" t="s">
        <v>104</v>
      </c>
      <c r="G20" s="76" t="s">
        <v>104</v>
      </c>
      <c r="H20" s="77"/>
      <c r="I20" s="73" t="s">
        <v>68</v>
      </c>
      <c r="J20" s="182" t="s">
        <v>103</v>
      </c>
      <c r="K20" s="164" t="str">
        <f ca="1">IFERROR(__xludf.DUMMYFUNCTION("IF(F20=G20,D20,GOOGLEFINANCE(CONCATENATE(F20,G20))*D20)"),"4,100.00")</f>
        <v>4,100.00</v>
      </c>
      <c r="L20" s="76" t="s">
        <v>104</v>
      </c>
      <c r="M20" s="165">
        <f ca="1">IFERROR(__xludf.DUMMYFUNCTION("VALUE(IF(F20=""USD"",D20,IF(F20=""EUR"",D20/GOOGLEFINANCE(CONCATENATE(N20,P20)),IF(F20=G20,D20/GOOGLEFINANCE(CONCATENATE(N20,L20))))))"),4.214854793)</f>
        <v>4.2148547929999998</v>
      </c>
      <c r="N20" s="52" t="s">
        <v>86</v>
      </c>
      <c r="O20" s="165">
        <f ca="1">IFERROR(__xludf.DUMMYFUNCTION("VALUE(IF(F20=""EUR"",D20,IF(F20=""USD"",GOOGLEFINANCE(CONCATENATE(N20,P20))*D20,IF(F20=G20,D20/GOOGLEFINANCE(CONCATENATE(P20,L20))))))"),4.283650216)</f>
        <v>4.2836502159999998</v>
      </c>
      <c r="P20" s="52" t="s">
        <v>85</v>
      </c>
    </row>
    <row r="21" spans="1:16" ht="15.75" customHeight="1" x14ac:dyDescent="0.15">
      <c r="A21" s="86" t="s">
        <v>562</v>
      </c>
      <c r="B21" s="87" t="s">
        <v>563</v>
      </c>
      <c r="C21" s="87"/>
      <c r="D21" s="125"/>
      <c r="E21" s="125"/>
      <c r="F21" s="89" t="s">
        <v>258</v>
      </c>
      <c r="G21" s="89" t="s">
        <v>258</v>
      </c>
      <c r="H21" s="77"/>
      <c r="I21" s="86" t="s">
        <v>562</v>
      </c>
      <c r="J21" s="87" t="s">
        <v>563</v>
      </c>
      <c r="K21" s="164" t="str">
        <f ca="1">IFERROR(__xludf.DUMMYFUNCTION("IF(F21=G21,D21,GOOGLEFINANCE(CONCATENATE(F21,G21))*D21)"),"")</f>
        <v/>
      </c>
      <c r="L21" s="76" t="s">
        <v>258</v>
      </c>
      <c r="M21" s="165">
        <f ca="1">IFERROR(__xludf.DUMMYFUNCTION("VALUE(IF(F21=""USD"",D21,IF(F21=""EUR"",D21/GOOGLEFINANCE(CONCATENATE(N21,P21)),IF(F21=G21,D21/GOOGLEFINANCE(CONCATENATE(N21,L21))))))"),0)</f>
        <v>0</v>
      </c>
      <c r="N21" s="52" t="s">
        <v>86</v>
      </c>
      <c r="O21" s="165">
        <f ca="1">IFERROR(__xludf.DUMMYFUNCTION("VALUE(IF(F21=""EUR"",D21,IF(F21=""USD"",GOOGLEFINANCE(CONCATENATE(N21,P21))*D21,IF(F21=G21,D21/GOOGLEFINANCE(CONCATENATE(P21,L21))))))"),0)</f>
        <v>0</v>
      </c>
      <c r="P21" s="52" t="s">
        <v>85</v>
      </c>
    </row>
    <row r="22" spans="1:16" ht="15.75" customHeight="1" x14ac:dyDescent="0.15">
      <c r="A22" s="73" t="s">
        <v>80</v>
      </c>
      <c r="B22" s="182" t="s">
        <v>105</v>
      </c>
      <c r="C22" s="182"/>
      <c r="E22" s="52"/>
      <c r="F22" s="76" t="s">
        <v>106</v>
      </c>
      <c r="G22" s="76" t="s">
        <v>106</v>
      </c>
      <c r="H22" s="77"/>
      <c r="I22" s="73" t="s">
        <v>80</v>
      </c>
      <c r="J22" s="182" t="s">
        <v>105</v>
      </c>
      <c r="K22" s="164" t="str">
        <f ca="1">IFERROR(__xludf.DUMMYFUNCTION("IF(F22=G22,D22,GOOGLEFINANCE(CONCATENATE(F22,G22))*D22)"),"")</f>
        <v/>
      </c>
      <c r="L22" s="76" t="s">
        <v>106</v>
      </c>
      <c r="M22" s="165">
        <f ca="1">IFERROR(__xludf.DUMMYFUNCTION("VALUE(IF(F22=""USD"",D22,IF(F22=""EUR"",D22/GOOGLEFINANCE(CONCATENATE(N22,P22)),IF(F22=G22,D22/GOOGLEFINANCE(CONCATENATE(N22,L22))))))"),0)</f>
        <v>0</v>
      </c>
      <c r="N22" s="52" t="s">
        <v>86</v>
      </c>
      <c r="O22" s="165">
        <f ca="1">IFERROR(__xludf.DUMMYFUNCTION("VALUE(IF(F22=""EUR"",D22,IF(F22=""USD"",GOOGLEFINANCE(CONCATENATE(N22,P22))*D22,IF(F22=G22,D22/GOOGLEFINANCE(CONCATENATE(P22,L22))))))"),0)</f>
        <v>0</v>
      </c>
      <c r="P22" s="52" t="s">
        <v>85</v>
      </c>
    </row>
    <row r="23" spans="1:16" ht="15.75" customHeight="1" x14ac:dyDescent="0.15">
      <c r="A23" s="73" t="s">
        <v>568</v>
      </c>
      <c r="B23" s="182" t="s">
        <v>569</v>
      </c>
      <c r="C23" s="182"/>
      <c r="D23" s="131" t="s">
        <v>907</v>
      </c>
      <c r="E23" s="131"/>
      <c r="F23" s="76" t="s">
        <v>263</v>
      </c>
      <c r="G23" s="76" t="s">
        <v>263</v>
      </c>
      <c r="H23" s="77"/>
      <c r="I23" s="73" t="s">
        <v>568</v>
      </c>
      <c r="J23" s="182" t="s">
        <v>569</v>
      </c>
      <c r="K23" s="164" t="str">
        <f ca="1">IFERROR(__xludf.DUMMYFUNCTION("IF(F23=G23,D23,GOOGLEFINANCE(CONCATENATE(F23,G23))*D23)"),"3,790.00")</f>
        <v>3,790.00</v>
      </c>
      <c r="L23" s="76" t="s">
        <v>263</v>
      </c>
      <c r="M23" s="165">
        <f ca="1">IFERROR(__xludf.DUMMYFUNCTION("VALUE(IF(F23=""USD"",D23,IF(F23=""EUR"",D23/GOOGLEFINANCE(CONCATENATE(N23,P23)),IF(F23=G23,D23/GOOGLEFINANCE(CONCATENATE(N23,L23))))))"),6.167230559)</f>
        <v>6.1672305590000001</v>
      </c>
      <c r="N23" s="52" t="s">
        <v>86</v>
      </c>
      <c r="O23" s="165">
        <f ca="1">IFERROR(__xludf.DUMMYFUNCTION("VALUE(IF(F23=""EUR"",D23,IF(F23=""USD"",GOOGLEFINANCE(CONCATENATE(N23,P23))*D23,IF(F23=G23,D23/GOOGLEFINANCE(CONCATENATE(P23,L23))))))"),6.26789292)</f>
        <v>6.2678929200000004</v>
      </c>
      <c r="P23" s="52" t="s">
        <v>85</v>
      </c>
    </row>
    <row r="24" spans="1:16" ht="15.75" customHeight="1" x14ac:dyDescent="0.15">
      <c r="A24" s="86" t="s">
        <v>555</v>
      </c>
      <c r="B24" s="87" t="s">
        <v>556</v>
      </c>
      <c r="C24" s="87"/>
      <c r="D24" s="125"/>
      <c r="E24" s="125"/>
      <c r="F24" s="89" t="s">
        <v>251</v>
      </c>
      <c r="G24" s="89" t="s">
        <v>251</v>
      </c>
      <c r="H24" s="77"/>
      <c r="I24" s="86" t="s">
        <v>555</v>
      </c>
      <c r="J24" s="87" t="s">
        <v>556</v>
      </c>
      <c r="K24" s="164" t="str">
        <f ca="1">IFERROR(__xludf.DUMMYFUNCTION("IF(F24=G24,D24,GOOGLEFINANCE(CONCATENATE(F24,G24))*D24)"),"")</f>
        <v/>
      </c>
      <c r="L24" s="76" t="s">
        <v>251</v>
      </c>
      <c r="M24" s="165">
        <f ca="1">IFERROR(__xludf.DUMMYFUNCTION("VALUE(IF(F24=""USD"",D24,IF(F24=""EUR"",D24/GOOGLEFINANCE(CONCATENATE(N24,P24)),IF(F24=G24,D24/GOOGLEFINANCE(CONCATENATE(N24,L24))))))"),0)</f>
        <v>0</v>
      </c>
      <c r="N24" s="52" t="s">
        <v>86</v>
      </c>
      <c r="O24" s="165">
        <f ca="1">IFERROR(__xludf.DUMMYFUNCTION("VALUE(IF(F24=""EUR"",D24,IF(F24=""USD"",GOOGLEFINANCE(CONCATENATE(N24,P24))*D24,IF(F24=G24,D24/GOOGLEFINANCE(CONCATENATE(P24,L24))))))"),0)</f>
        <v>0</v>
      </c>
      <c r="P24" s="52" t="s">
        <v>85</v>
      </c>
    </row>
    <row r="25" spans="1:16" ht="15.75" customHeight="1" x14ac:dyDescent="0.15">
      <c r="A25" s="73" t="s">
        <v>46</v>
      </c>
      <c r="B25" s="182" t="s">
        <v>107</v>
      </c>
      <c r="C25" s="182"/>
      <c r="D25" s="131" t="s">
        <v>908</v>
      </c>
      <c r="E25" s="131"/>
      <c r="F25" s="76" t="s">
        <v>108</v>
      </c>
      <c r="G25" s="76" t="s">
        <v>108</v>
      </c>
      <c r="H25" s="77"/>
      <c r="I25" s="73" t="s">
        <v>46</v>
      </c>
      <c r="J25" s="182" t="s">
        <v>107</v>
      </c>
      <c r="K25" s="164" t="str">
        <f ca="1">IFERROR(__xludf.DUMMYFUNCTION("IF(F25=G25,D25,GOOGLEFINANCE(CONCATENATE(F25,G25))*D25)"),"71.99")</f>
        <v>71.99</v>
      </c>
      <c r="L25" s="76" t="s">
        <v>108</v>
      </c>
      <c r="M25" s="165">
        <f ca="1">IFERROR(__xludf.DUMMYFUNCTION("VALUE(IF(F25=""USD"",D25,IF(F25=""EUR"",D25/GOOGLEFINANCE(CONCATENATE(N25,P25)),IF(F25=G25,D25/GOOGLEFINANCE(CONCATENATE(N25,L25))))))"),9.399399399)</f>
        <v>9.399399399</v>
      </c>
      <c r="N25" s="52" t="s">
        <v>86</v>
      </c>
      <c r="O25" s="165">
        <f ca="1">IFERROR(__xludf.DUMMYFUNCTION("VALUE(IF(F25=""EUR"",D25,IF(F25=""USD"",GOOGLEFINANCE(CONCATENATE(N25,P25))*D25,IF(F25=G25,D25/GOOGLEFINANCE(CONCATENATE(P25,L25))))))"),9.552817651)</f>
        <v>9.5528176509999998</v>
      </c>
      <c r="P25" s="52" t="s">
        <v>85</v>
      </c>
    </row>
    <row r="26" spans="1:16" ht="15.75" customHeight="1" x14ac:dyDescent="0.15">
      <c r="A26" s="86" t="s">
        <v>572</v>
      </c>
      <c r="B26" s="87" t="s">
        <v>573</v>
      </c>
      <c r="C26" s="87"/>
      <c r="D26" s="125"/>
      <c r="E26" s="125"/>
      <c r="F26" s="89" t="s">
        <v>86</v>
      </c>
      <c r="G26" s="89" t="s">
        <v>86</v>
      </c>
      <c r="H26" s="77"/>
      <c r="I26" s="86" t="s">
        <v>572</v>
      </c>
      <c r="J26" s="87" t="s">
        <v>573</v>
      </c>
      <c r="K26" s="164" t="str">
        <f ca="1">IFERROR(__xludf.DUMMYFUNCTION("IF(F26=G26,D26,GOOGLEFINANCE(CONCATENATE(F26,G26))*D26)"),"")</f>
        <v/>
      </c>
      <c r="L26" s="76" t="s">
        <v>86</v>
      </c>
      <c r="M26" s="165">
        <f ca="1">IFERROR(__xludf.DUMMYFUNCTION("VALUE(IF(F26=""USD"",D26,IF(F26=""EUR"",D26/GOOGLEFINANCE(CONCATENATE(N26,P26)),IF(F26=G26,D26/GOOGLEFINANCE(CONCATENATE(N26,L26))))))"),0)</f>
        <v>0</v>
      </c>
      <c r="N26" s="52" t="s">
        <v>86</v>
      </c>
      <c r="O26" s="165">
        <f ca="1">IFERROR(__xludf.DUMMYFUNCTION("VALUE(IF(F26=""EUR"",D26,IF(F26=""USD"",GOOGLEFINANCE(CONCATENATE(N26,P26))*D26,IF(F26=G26,D26/GOOGLEFINANCE(CONCATENATE(P26,L26))))))"),0)</f>
        <v>0</v>
      </c>
      <c r="P26" s="52" t="s">
        <v>85</v>
      </c>
    </row>
    <row r="27" spans="1:16" ht="15.75" customHeight="1" x14ac:dyDescent="0.15">
      <c r="A27" s="73" t="s">
        <v>574</v>
      </c>
      <c r="B27" s="182" t="s">
        <v>575</v>
      </c>
      <c r="C27" s="182"/>
      <c r="E27" s="52"/>
      <c r="F27" s="76" t="s">
        <v>85</v>
      </c>
      <c r="G27" s="76" t="s">
        <v>85</v>
      </c>
      <c r="H27" s="77"/>
      <c r="I27" s="73" t="s">
        <v>574</v>
      </c>
      <c r="J27" s="182" t="s">
        <v>575</v>
      </c>
      <c r="K27" s="164" t="str">
        <f ca="1">IFERROR(__xludf.DUMMYFUNCTION("IF(F27=G27,D27,GOOGLEFINANCE(CONCATENATE(F27,G27))*D27)"),"")</f>
        <v/>
      </c>
      <c r="L27" s="76" t="s">
        <v>85</v>
      </c>
      <c r="M27" s="165">
        <f ca="1">IFERROR(__xludf.DUMMYFUNCTION("VALUE(IF(F27=""USD"",D27,IF(F27=""EUR"",D27/GOOGLEFINANCE(CONCATENATE(N27,P27)),IF(F27=G27,D27/GOOGLEFINANCE(CONCATENATE(N27,L27))))))"),0)</f>
        <v>0</v>
      </c>
      <c r="N27" s="52" t="s">
        <v>86</v>
      </c>
      <c r="O27" s="165">
        <f ca="1">IFERROR(__xludf.DUMMYFUNCTION("VALUE(IF(F27=""EUR"",D27,IF(F27=""USD"",GOOGLEFINANCE(CONCATENATE(N27,P27))*D27,IF(F27=G27,D27/GOOGLEFINANCE(CONCATENATE(P27,L27))))))"),0)</f>
        <v>0</v>
      </c>
      <c r="P27" s="52" t="s">
        <v>85</v>
      </c>
    </row>
    <row r="28" spans="1:16" ht="15.75" customHeight="1" x14ac:dyDescent="0.15">
      <c r="A28" s="73" t="s">
        <v>41</v>
      </c>
      <c r="B28" s="182" t="s">
        <v>109</v>
      </c>
      <c r="C28" s="182"/>
      <c r="D28" s="131" t="s">
        <v>882</v>
      </c>
      <c r="E28" s="131"/>
      <c r="F28" s="76" t="s">
        <v>110</v>
      </c>
      <c r="G28" s="76" t="s">
        <v>110</v>
      </c>
      <c r="H28" s="77"/>
      <c r="I28" s="73" t="s">
        <v>41</v>
      </c>
      <c r="J28" s="182" t="s">
        <v>109</v>
      </c>
      <c r="K28" s="164" t="str">
        <f ca="1">IFERROR(__xludf.DUMMYFUNCTION("IF(F28=G28,D28,GOOGLEFINANCE(CONCATENATE(F28,G28))*D28)"),"179.00")</f>
        <v>179.00</v>
      </c>
      <c r="L28" s="76" t="s">
        <v>110</v>
      </c>
      <c r="M28" s="165">
        <f ca="1">IFERROR(__xludf.DUMMYFUNCTION("VALUE(IF(F28=""USD"",D28,IF(F28=""EUR"",D28/GOOGLEFINANCE(CONCATENATE(N28,P28)),IF(F28=G28,D28/GOOGLEFINANCE(CONCATENATE(N28,L28))))))"),7.192510146)</f>
        <v>7.192510146</v>
      </c>
      <c r="N28" s="52" t="s">
        <v>86</v>
      </c>
      <c r="O28" s="165">
        <f ca="1">IFERROR(__xludf.DUMMYFUNCTION("VALUE(IF(F28=""EUR"",D28,IF(F28=""USD"",GOOGLEFINANCE(CONCATENATE(N28,P28))*D28,IF(F28=G28,D28/GOOGLEFINANCE(CONCATENATE(P28,L28))))))"),7.310613254)</f>
        <v>7.3106132539999997</v>
      </c>
      <c r="P28" s="52" t="s">
        <v>85</v>
      </c>
    </row>
    <row r="29" spans="1:16" ht="15.75" customHeight="1" x14ac:dyDescent="0.15">
      <c r="A29" s="73" t="s">
        <v>581</v>
      </c>
      <c r="B29" s="182" t="s">
        <v>582</v>
      </c>
      <c r="C29" s="182"/>
      <c r="D29" s="131" t="s">
        <v>904</v>
      </c>
      <c r="E29" s="131"/>
      <c r="F29" s="76" t="s">
        <v>274</v>
      </c>
      <c r="G29" s="76" t="s">
        <v>274</v>
      </c>
      <c r="H29" s="77"/>
      <c r="I29" s="73" t="s">
        <v>581</v>
      </c>
      <c r="J29" s="182" t="s">
        <v>582</v>
      </c>
      <c r="K29" s="164" t="str">
        <f ca="1">IFERROR(__xludf.DUMMYFUNCTION("IF(F29=G29,D29,GOOGLEFINANCE(CONCATENATE(F29,G29))*D29)"),"119.00")</f>
        <v>119.00</v>
      </c>
      <c r="L29" s="76" t="s">
        <v>274</v>
      </c>
      <c r="M29" s="165">
        <f ca="1">IFERROR(__xludf.DUMMYFUNCTION("VALUE(IF(F29=""USD"",D29,IF(F29=""EUR"",D29/GOOGLEFINANCE(CONCATENATE(N29,P29)),IF(F29=G29,D29/GOOGLEFINANCE(CONCATENATE(N29,L29))))))"),15.74057417)</f>
        <v>15.74057417</v>
      </c>
      <c r="N29" s="52" t="s">
        <v>86</v>
      </c>
      <c r="O29" s="165">
        <f ca="1">IFERROR(__xludf.DUMMYFUNCTION("VALUE(IF(F29=""EUR"",D29,IF(F29=""USD"",GOOGLEFINANCE(CONCATENATE(N29,P29))*D29,IF(F29=G29,D29/GOOGLEFINANCE(CONCATENATE(P29,L29))))))"),15.99811787)</f>
        <v>15.99811787</v>
      </c>
      <c r="P29" s="52" t="s">
        <v>85</v>
      </c>
    </row>
    <row r="30" spans="1:16" ht="15.75" customHeight="1" x14ac:dyDescent="0.15">
      <c r="A30" s="73" t="s">
        <v>586</v>
      </c>
      <c r="B30" s="182" t="s">
        <v>587</v>
      </c>
      <c r="C30" s="182"/>
      <c r="E30" s="52"/>
      <c r="F30" s="76" t="s">
        <v>277</v>
      </c>
      <c r="G30" s="76" t="s">
        <v>277</v>
      </c>
      <c r="H30" s="77"/>
      <c r="I30" s="73" t="s">
        <v>586</v>
      </c>
      <c r="J30" s="182" t="s">
        <v>587</v>
      </c>
      <c r="K30" s="164" t="str">
        <f ca="1">IFERROR(__xludf.DUMMYFUNCTION("IF(F30=G30,D30,GOOGLEFINANCE(CONCATENATE(F30,G30))*D30)"),"")</f>
        <v/>
      </c>
      <c r="L30" s="76" t="s">
        <v>277</v>
      </c>
      <c r="M30" s="165">
        <f ca="1">IFERROR(__xludf.DUMMYFUNCTION("VALUE(IF(F30=""USD"",D30,IF(F30=""EUR"",D30/GOOGLEFINANCE(CONCATENATE(N30,P30)),IF(F30=G30,D30/GOOGLEFINANCE(CONCATENATE(N30,L30))))))"),0)</f>
        <v>0</v>
      </c>
      <c r="N30" s="52" t="s">
        <v>86</v>
      </c>
      <c r="O30" s="165">
        <f ca="1">IFERROR(__xludf.DUMMYFUNCTION("VALUE(IF(F30=""EUR"",D30,IF(F30=""USD"",GOOGLEFINANCE(CONCATENATE(N30,P30))*D30,IF(F30=G30,D30/GOOGLEFINANCE(CONCATENATE(P30,L30))))))"),0)</f>
        <v>0</v>
      </c>
      <c r="P30" s="52" t="s">
        <v>85</v>
      </c>
    </row>
    <row r="31" spans="1:16" ht="15.75" customHeight="1" x14ac:dyDescent="0.15">
      <c r="A31" s="73" t="s">
        <v>590</v>
      </c>
      <c r="B31" s="182" t="s">
        <v>591</v>
      </c>
      <c r="C31" s="182"/>
      <c r="E31" s="52"/>
      <c r="F31" s="76" t="s">
        <v>86</v>
      </c>
      <c r="G31" s="76" t="s">
        <v>86</v>
      </c>
      <c r="H31" s="77"/>
      <c r="I31" s="73" t="s">
        <v>590</v>
      </c>
      <c r="J31" s="182" t="s">
        <v>591</v>
      </c>
      <c r="K31" s="164" t="str">
        <f ca="1">IFERROR(__xludf.DUMMYFUNCTION("IF(F31=G31,D31,GOOGLEFINANCE(CONCATENATE(F31,G31))*D31)"),"")</f>
        <v/>
      </c>
      <c r="L31" s="76" t="s">
        <v>86</v>
      </c>
      <c r="M31" s="165">
        <f ca="1">IFERROR(__xludf.DUMMYFUNCTION("VALUE(IF(F31=""USD"",D31,IF(F31=""EUR"",D31/GOOGLEFINANCE(CONCATENATE(N31,P31)),IF(F31=G31,D31/GOOGLEFINANCE(CONCATENATE(N31,L31))))))"),0)</f>
        <v>0</v>
      </c>
      <c r="N31" s="52" t="s">
        <v>86</v>
      </c>
      <c r="O31" s="165">
        <f ca="1">IFERROR(__xludf.DUMMYFUNCTION("VALUE(IF(F31=""EUR"",D31,IF(F31=""USD"",GOOGLEFINANCE(CONCATENATE(N31,P31))*D31,IF(F31=G31,D31/GOOGLEFINANCE(CONCATENATE(P31,L31))))))"),0)</f>
        <v>0</v>
      </c>
      <c r="P31" s="52" t="s">
        <v>85</v>
      </c>
    </row>
    <row r="32" spans="1:16" ht="15.75" customHeight="1" x14ac:dyDescent="0.15">
      <c r="A32" s="73" t="s">
        <v>71</v>
      </c>
      <c r="B32" s="182" t="s">
        <v>111</v>
      </c>
      <c r="C32" s="182"/>
      <c r="E32" s="52"/>
      <c r="F32" s="76" t="s">
        <v>112</v>
      </c>
      <c r="G32" s="76" t="s">
        <v>112</v>
      </c>
      <c r="H32" s="77"/>
      <c r="I32" s="73" t="s">
        <v>71</v>
      </c>
      <c r="J32" s="182" t="s">
        <v>111</v>
      </c>
      <c r="K32" s="164" t="str">
        <f ca="1">IFERROR(__xludf.DUMMYFUNCTION("IF(F32=G32,D32,GOOGLEFINANCE(CONCATENATE(F32,G32))*D32)"),"")</f>
        <v/>
      </c>
      <c r="L32" s="76" t="s">
        <v>112</v>
      </c>
      <c r="M32" s="165">
        <f ca="1">IFERROR(__xludf.DUMMYFUNCTION("VALUE(IF(F32=""USD"",D32,IF(F32=""EUR"",D32/GOOGLEFINANCE(CONCATENATE(N32,P32)),IF(F32=G32,D32/GOOGLEFINANCE(CONCATENATE(N32,L32))))))"),0)</f>
        <v>0</v>
      </c>
      <c r="N32" s="52" t="s">
        <v>86</v>
      </c>
      <c r="O32" s="165">
        <f ca="1">IFERROR(__xludf.DUMMYFUNCTION("VALUE(IF(F32=""EUR"",D32,IF(F32=""USD"",GOOGLEFINANCE(CONCATENATE(N32,P32))*D32,IF(F32=G32,D32/GOOGLEFINANCE(CONCATENATE(P32,L32))))))"),0)</f>
        <v>0</v>
      </c>
      <c r="P32" s="52" t="s">
        <v>85</v>
      </c>
    </row>
    <row r="33" spans="1:16" ht="15.75" customHeight="1" x14ac:dyDescent="0.15">
      <c r="A33" s="73" t="s">
        <v>723</v>
      </c>
      <c r="B33" s="182" t="s">
        <v>724</v>
      </c>
      <c r="C33" s="182"/>
      <c r="E33" s="52"/>
      <c r="F33" s="76" t="s">
        <v>86</v>
      </c>
      <c r="G33" s="76" t="s">
        <v>86</v>
      </c>
      <c r="H33" s="77"/>
      <c r="I33" s="73" t="s">
        <v>723</v>
      </c>
      <c r="J33" s="182" t="s">
        <v>724</v>
      </c>
      <c r="K33" s="164" t="str">
        <f ca="1">IFERROR(__xludf.DUMMYFUNCTION("IF(F33=G33,D33,GOOGLEFINANCE(CONCATENATE(F33,G33))*D33)"),"")</f>
        <v/>
      </c>
      <c r="L33" s="76" t="s">
        <v>86</v>
      </c>
      <c r="M33" s="165">
        <f ca="1">IFERROR(__xludf.DUMMYFUNCTION("VALUE(IF(F33=""USD"",D33,IF(F33=""EUR"",D33/GOOGLEFINANCE(CONCATENATE(N33,P33)),IF(F33=G33,D33/GOOGLEFINANCE(CONCATENATE(N33,L33))))))"),0)</f>
        <v>0</v>
      </c>
      <c r="N33" s="52" t="s">
        <v>86</v>
      </c>
      <c r="O33" s="165">
        <f ca="1">IFERROR(__xludf.DUMMYFUNCTION("VALUE(IF(F33=""EUR"",D33,IF(F33=""USD"",GOOGLEFINANCE(CONCATENATE(N33,P33))*D33,IF(F33=G33,D33/GOOGLEFINANCE(CONCATENATE(P33,L33))))))"),0)</f>
        <v>0</v>
      </c>
      <c r="P33" s="52" t="s">
        <v>85</v>
      </c>
    </row>
    <row r="34" spans="1:16" ht="15.75" customHeight="1" x14ac:dyDescent="0.15">
      <c r="A34" s="73" t="s">
        <v>42</v>
      </c>
      <c r="B34" s="182" t="s">
        <v>113</v>
      </c>
      <c r="C34" s="182"/>
      <c r="E34" s="52"/>
      <c r="F34" s="76" t="s">
        <v>85</v>
      </c>
      <c r="G34" s="76" t="s">
        <v>85</v>
      </c>
      <c r="H34" s="77"/>
      <c r="I34" s="73" t="s">
        <v>42</v>
      </c>
      <c r="J34" s="182" t="s">
        <v>113</v>
      </c>
      <c r="K34" s="164" t="str">
        <f ca="1">IFERROR(__xludf.DUMMYFUNCTION("IF(F34=G34,D34,GOOGLEFINANCE(CONCATENATE(F34,G34))*D34)"),"")</f>
        <v/>
      </c>
      <c r="L34" s="76" t="s">
        <v>85</v>
      </c>
      <c r="M34" s="165">
        <f ca="1">IFERROR(__xludf.DUMMYFUNCTION("VALUE(IF(F34=""USD"",D34,IF(F34=""EUR"",D34/GOOGLEFINANCE(CONCATENATE(N34,P34)),IF(F34=G34,D34/GOOGLEFINANCE(CONCATENATE(N34,L34))))))"),0)</f>
        <v>0</v>
      </c>
      <c r="N34" s="52" t="s">
        <v>86</v>
      </c>
      <c r="O34" s="165">
        <f ca="1">IFERROR(__xludf.DUMMYFUNCTION("VALUE(IF(F34=""EUR"",D34,IF(F34=""USD"",GOOGLEFINANCE(CONCATENATE(N34,P34))*D34,IF(F34=G34,D34/GOOGLEFINANCE(CONCATENATE(P34,L34))))))"),0)</f>
        <v>0</v>
      </c>
      <c r="P34" s="52" t="s">
        <v>85</v>
      </c>
    </row>
    <row r="35" spans="1:16" ht="15.75" customHeight="1" x14ac:dyDescent="0.15">
      <c r="A35" s="73" t="s">
        <v>32</v>
      </c>
      <c r="B35" s="182" t="s">
        <v>114</v>
      </c>
      <c r="C35" s="182"/>
      <c r="D35" s="131" t="s">
        <v>841</v>
      </c>
      <c r="E35" s="131"/>
      <c r="F35" s="76" t="s">
        <v>85</v>
      </c>
      <c r="G35" s="76" t="s">
        <v>85</v>
      </c>
      <c r="H35" s="77"/>
      <c r="I35" s="73" t="s">
        <v>32</v>
      </c>
      <c r="J35" s="182" t="s">
        <v>114</v>
      </c>
      <c r="K35" s="164" t="str">
        <f ca="1">IFERROR(__xludf.DUMMYFUNCTION("IF(F35=G35,D35,GOOGLEFINANCE(CONCATENATE(F35,G35))*D35)"),"6.99")</f>
        <v>6.99</v>
      </c>
      <c r="L35" s="76" t="s">
        <v>85</v>
      </c>
      <c r="M35" s="165">
        <f ca="1">IFERROR(__xludf.DUMMYFUNCTION("VALUE(IF(F35=""USD"",D35,IF(F35=""EUR"",D35/GOOGLEFINANCE(CONCATENATE(N35,P35)),IF(F35=G35,D35/GOOGLEFINANCE(CONCATENATE(N35,L35))))))"),6.877382856)</f>
        <v>6.8773828559999997</v>
      </c>
      <c r="N35" s="52" t="s">
        <v>86</v>
      </c>
      <c r="O35" s="165">
        <f ca="1">IFERROR(__xludf.DUMMYFUNCTION("VALUE(IF(F35=""EUR"",D35,IF(F35=""USD"",GOOGLEFINANCE(CONCATENATE(N35,P35))*D35,IF(F35=G35,D35/GOOGLEFINANCE(CONCATENATE(P35,L35))))))"),6.99)</f>
        <v>6.99</v>
      </c>
      <c r="P35" s="52" t="s">
        <v>85</v>
      </c>
    </row>
    <row r="36" spans="1:16" ht="15.75" customHeight="1" x14ac:dyDescent="0.15">
      <c r="A36" s="73" t="s">
        <v>31</v>
      </c>
      <c r="B36" s="182" t="s">
        <v>115</v>
      </c>
      <c r="C36" s="182"/>
      <c r="D36" s="131" t="s">
        <v>595</v>
      </c>
      <c r="E36" s="131"/>
      <c r="F36" s="76" t="s">
        <v>85</v>
      </c>
      <c r="G36" s="76" t="s">
        <v>85</v>
      </c>
      <c r="H36" s="77"/>
      <c r="I36" s="73" t="s">
        <v>31</v>
      </c>
      <c r="J36" s="182" t="s">
        <v>115</v>
      </c>
      <c r="K36" s="164" t="str">
        <f ca="1">IFERROR(__xludf.DUMMYFUNCTION("IF(F36=G36,D36,GOOGLEFINANCE(CONCATENATE(F36,G36))*D36)"),"11.99")</f>
        <v>11.99</v>
      </c>
      <c r="L36" s="76" t="s">
        <v>85</v>
      </c>
      <c r="M36" s="165">
        <f ca="1">IFERROR(__xludf.DUMMYFUNCTION("VALUE(IF(F36=""USD"",D36,IF(F36=""EUR"",D36/GOOGLEFINANCE(CONCATENATE(N36,P36)),IF(F36=G36,D36/GOOGLEFINANCE(CONCATENATE(N36,L36))))))"),11.79682696)</f>
        <v>11.796826960000001</v>
      </c>
      <c r="N36" s="52" t="s">
        <v>86</v>
      </c>
      <c r="O36" s="165">
        <f ca="1">IFERROR(__xludf.DUMMYFUNCTION("VALUE(IF(F36=""EUR"",D36,IF(F36=""USD"",GOOGLEFINANCE(CONCATENATE(N36,P36))*D36,IF(F36=G36,D36/GOOGLEFINANCE(CONCATENATE(P36,L36))))))"),11.99)</f>
        <v>11.99</v>
      </c>
      <c r="P36" s="52" t="s">
        <v>85</v>
      </c>
    </row>
    <row r="37" spans="1:16" ht="15.75" customHeight="1" x14ac:dyDescent="0.15">
      <c r="A37" s="86" t="s">
        <v>598</v>
      </c>
      <c r="B37" s="87" t="s">
        <v>599</v>
      </c>
      <c r="C37" s="87"/>
      <c r="D37" s="125"/>
      <c r="E37" s="125"/>
      <c r="F37" s="89" t="s">
        <v>294</v>
      </c>
      <c r="G37" s="89" t="s">
        <v>294</v>
      </c>
      <c r="H37" s="77"/>
      <c r="I37" s="86" t="s">
        <v>598</v>
      </c>
      <c r="J37" s="87" t="s">
        <v>599</v>
      </c>
      <c r="K37" s="164" t="str">
        <f ca="1">IFERROR(__xludf.DUMMYFUNCTION("IF(F37=G37,D37,GOOGLEFINANCE(CONCATENATE(F37,G37))*D37)"),"")</f>
        <v/>
      </c>
      <c r="L37" s="76" t="s">
        <v>294</v>
      </c>
      <c r="M37" s="165">
        <f ca="1">IFERROR(__xludf.DUMMYFUNCTION("VALUE(IF(F37=""USD"",D37,IF(F37=""EUR"",D37/GOOGLEFINANCE(CONCATENATE(N37,P37)),IF(F37=G37,D37/GOOGLEFINANCE(CONCATENATE(N37,L37))))))"),0)</f>
        <v>0</v>
      </c>
      <c r="N37" s="52" t="s">
        <v>86</v>
      </c>
      <c r="O37" s="165">
        <f ca="1">IFERROR(__xludf.DUMMYFUNCTION("VALUE(IF(F37=""EUR"",D37,IF(F37=""USD"",GOOGLEFINANCE(CONCATENATE(N37,P37))*D37,IF(F37=G37,D37/GOOGLEFINANCE(CONCATENATE(P37,L37))))))"),0)</f>
        <v>0</v>
      </c>
      <c r="P37" s="52" t="s">
        <v>85</v>
      </c>
    </row>
    <row r="38" spans="1:16" ht="15.75" customHeight="1" x14ac:dyDescent="0.15">
      <c r="A38" s="73" t="s">
        <v>29</v>
      </c>
      <c r="B38" s="182" t="s">
        <v>116</v>
      </c>
      <c r="C38" s="182"/>
      <c r="D38" s="131" t="s">
        <v>595</v>
      </c>
      <c r="E38" s="131"/>
      <c r="F38" s="76" t="s">
        <v>85</v>
      </c>
      <c r="G38" s="76" t="s">
        <v>85</v>
      </c>
      <c r="H38" s="77"/>
      <c r="I38" s="73" t="s">
        <v>29</v>
      </c>
      <c r="J38" s="182" t="s">
        <v>116</v>
      </c>
      <c r="K38" s="164" t="str">
        <f ca="1">IFERROR(__xludf.DUMMYFUNCTION("IF(F38=G38,D38,GOOGLEFINANCE(CONCATENATE(F38,G38))*D38)"),"11.99")</f>
        <v>11.99</v>
      </c>
      <c r="L38" s="76" t="s">
        <v>85</v>
      </c>
      <c r="M38" s="165">
        <f ca="1">IFERROR(__xludf.DUMMYFUNCTION("VALUE(IF(F38=""USD"",D38,IF(F38=""EUR"",D38/GOOGLEFINANCE(CONCATENATE(N38,P38)),IF(F38=G38,D38/GOOGLEFINANCE(CONCATENATE(N38,L38))))))"),11.79682696)</f>
        <v>11.796826960000001</v>
      </c>
      <c r="N38" s="52" t="s">
        <v>86</v>
      </c>
      <c r="O38" s="165">
        <f ca="1">IFERROR(__xludf.DUMMYFUNCTION("VALUE(IF(F38=""EUR"",D38,IF(F38=""USD"",GOOGLEFINANCE(CONCATENATE(N38,P38))*D38,IF(F38=G38,D38/GOOGLEFINANCE(CONCATENATE(P38,L38))))))"),11.99)</f>
        <v>11.99</v>
      </c>
      <c r="P38" s="52" t="s">
        <v>85</v>
      </c>
    </row>
    <row r="39" spans="1:16" ht="15.75" customHeight="1" x14ac:dyDescent="0.15">
      <c r="A39" s="86" t="s">
        <v>602</v>
      </c>
      <c r="B39" s="87" t="s">
        <v>296</v>
      </c>
      <c r="C39" s="87"/>
      <c r="D39" s="125"/>
      <c r="E39" s="125"/>
      <c r="F39" s="89" t="s">
        <v>297</v>
      </c>
      <c r="G39" s="89" t="s">
        <v>297</v>
      </c>
      <c r="H39" s="77"/>
      <c r="I39" s="86" t="s">
        <v>602</v>
      </c>
      <c r="J39" s="87" t="s">
        <v>296</v>
      </c>
      <c r="K39" s="164" t="str">
        <f ca="1">IFERROR(__xludf.DUMMYFUNCTION("IF(F39=G39,D39,GOOGLEFINANCE(CONCATENATE(F39,G39))*D39)"),"")</f>
        <v/>
      </c>
      <c r="L39" s="76" t="s">
        <v>297</v>
      </c>
      <c r="M39" s="165">
        <f ca="1">IFERROR(__xludf.DUMMYFUNCTION("VALUE(IF(F39=""USD"",D39,IF(F39=""EUR"",D39/GOOGLEFINANCE(CONCATENATE(N39,P39)),IF(F39=G39,D39/GOOGLEFINANCE(CONCATENATE(N39,L39))))))"),0)</f>
        <v>0</v>
      </c>
      <c r="N39" s="52" t="s">
        <v>86</v>
      </c>
      <c r="O39" s="165">
        <f ca="1">IFERROR(__xludf.DUMMYFUNCTION("VALUE(IF(F39=""EUR"",D39,IF(F39=""USD"",GOOGLEFINANCE(CONCATENATE(N39,P39))*D39,IF(F39=G39,D39/GOOGLEFINANCE(CONCATENATE(P39,L39))))))"),0)</f>
        <v>0</v>
      </c>
      <c r="P39" s="52" t="s">
        <v>85</v>
      </c>
    </row>
    <row r="40" spans="1:16" ht="15.75" customHeight="1" x14ac:dyDescent="0.15">
      <c r="A40" s="73" t="s">
        <v>40</v>
      </c>
      <c r="B40" s="182" t="s">
        <v>117</v>
      </c>
      <c r="C40" s="182"/>
      <c r="D40" s="131" t="s">
        <v>909</v>
      </c>
      <c r="E40" s="131"/>
      <c r="F40" s="76" t="s">
        <v>85</v>
      </c>
      <c r="G40" s="76" t="s">
        <v>85</v>
      </c>
      <c r="H40" s="77"/>
      <c r="I40" s="73" t="s">
        <v>40</v>
      </c>
      <c r="J40" s="182" t="s">
        <v>117</v>
      </c>
      <c r="K40" s="164" t="str">
        <f ca="1">IFERROR(__xludf.DUMMYFUNCTION("IF(F40=G40,D40,GOOGLEFINANCE(CONCATENATE(F40,G40))*D40)"),"8.49")</f>
        <v>8.49</v>
      </c>
      <c r="L40" s="76" t="s">
        <v>85</v>
      </c>
      <c r="M40" s="165">
        <f ca="1">IFERROR(__xludf.DUMMYFUNCTION("VALUE(IF(F40=""USD"",D40,IF(F40=""EUR"",D40/GOOGLEFINANCE(CONCATENATE(N40,P40)),IF(F40=G40,D40/GOOGLEFINANCE(CONCATENATE(N40,L40))))))"),8.353216087)</f>
        <v>8.3532160869999998</v>
      </c>
      <c r="N40" s="52" t="s">
        <v>86</v>
      </c>
      <c r="O40" s="165">
        <f ca="1">IFERROR(__xludf.DUMMYFUNCTION("VALUE(IF(F40=""EUR"",D40,IF(F40=""USD"",GOOGLEFINANCE(CONCATENATE(N40,P40))*D40,IF(F40=G40,D40/GOOGLEFINANCE(CONCATENATE(P40,L40))))))"),8.49)</f>
        <v>8.49</v>
      </c>
      <c r="P40" s="52" t="s">
        <v>85</v>
      </c>
    </row>
    <row r="41" spans="1:16" ht="13" x14ac:dyDescent="0.15">
      <c r="A41" s="73" t="s">
        <v>603</v>
      </c>
      <c r="B41" s="182" t="s">
        <v>604</v>
      </c>
      <c r="C41" s="182"/>
      <c r="E41" s="52"/>
      <c r="F41" s="76" t="s">
        <v>302</v>
      </c>
      <c r="G41" s="76" t="s">
        <v>302</v>
      </c>
      <c r="H41" s="77"/>
      <c r="I41" s="73" t="s">
        <v>603</v>
      </c>
      <c r="J41" s="182" t="s">
        <v>604</v>
      </c>
      <c r="K41" s="164" t="str">
        <f ca="1">IFERROR(__xludf.DUMMYFUNCTION("IF(F41=G41,D41,GOOGLEFINANCE(CONCATENATE(F41,G41))*D41)"),"")</f>
        <v/>
      </c>
      <c r="L41" s="76" t="s">
        <v>302</v>
      </c>
      <c r="M41" s="165">
        <f ca="1">IFERROR(__xludf.DUMMYFUNCTION("VALUE(IF(F41=""USD"",D41,IF(F41=""EUR"",D41/GOOGLEFINANCE(CONCATENATE(N41,P41)),IF(F41=G41,D41/GOOGLEFINANCE(CONCATENATE(N41,L41))))))"),0)</f>
        <v>0</v>
      </c>
      <c r="N41" s="52" t="s">
        <v>86</v>
      </c>
      <c r="O41" s="165">
        <f ca="1">IFERROR(__xludf.DUMMYFUNCTION("VALUE(IF(F41=""EUR"",D41,IF(F41=""USD"",GOOGLEFINANCE(CONCATENATE(N41,P41))*D41,IF(F41=G41,D41/GOOGLEFINANCE(CONCATENATE(P41,L41))))))"),0)</f>
        <v>0</v>
      </c>
      <c r="P41" s="52" t="s">
        <v>85</v>
      </c>
    </row>
    <row r="42" spans="1:16" ht="13" x14ac:dyDescent="0.15">
      <c r="A42" s="73" t="s">
        <v>608</v>
      </c>
      <c r="B42" s="182" t="s">
        <v>306</v>
      </c>
      <c r="C42" s="182"/>
      <c r="E42" s="52"/>
      <c r="F42" s="76" t="s">
        <v>307</v>
      </c>
      <c r="G42" s="76" t="s">
        <v>307</v>
      </c>
      <c r="H42" s="77"/>
      <c r="I42" s="73" t="s">
        <v>608</v>
      </c>
      <c r="J42" s="182" t="s">
        <v>306</v>
      </c>
      <c r="K42" s="164" t="str">
        <f ca="1">IFERROR(__xludf.DUMMYFUNCTION("IF(F42=G42,D42,GOOGLEFINANCE(CONCATENATE(F42,G42))*D42)"),"")</f>
        <v/>
      </c>
      <c r="L42" s="76" t="s">
        <v>307</v>
      </c>
      <c r="M42" s="165">
        <f ca="1">IFERROR(__xludf.DUMMYFUNCTION("VALUE(IF(F42=""USD"",D42,IF(F42=""EUR"",D42/GOOGLEFINANCE(CONCATENATE(N42,P42)),IF(F42=G42,D42/GOOGLEFINANCE(CONCATENATE(N42,L42))))))"),0)</f>
        <v>0</v>
      </c>
      <c r="N42" s="52" t="s">
        <v>86</v>
      </c>
      <c r="O42" s="165">
        <f ca="1">IFERROR(__xludf.DUMMYFUNCTION("VALUE(IF(F42=""EUR"",D42,IF(F42=""USD"",GOOGLEFINANCE(CONCATENATE(N42,P42))*D42,IF(F42=G42,D42/GOOGLEFINANCE(CONCATENATE(P42,L42))))))"),0)</f>
        <v>0</v>
      </c>
      <c r="P42" s="52" t="s">
        <v>85</v>
      </c>
    </row>
    <row r="43" spans="1:16" ht="13" x14ac:dyDescent="0.15">
      <c r="A43" s="73" t="s">
        <v>65</v>
      </c>
      <c r="B43" s="182" t="s">
        <v>118</v>
      </c>
      <c r="C43" s="182"/>
      <c r="D43" s="131" t="s">
        <v>910</v>
      </c>
      <c r="E43" s="131"/>
      <c r="F43" s="76" t="s">
        <v>119</v>
      </c>
      <c r="G43" s="76" t="s">
        <v>119</v>
      </c>
      <c r="H43" s="77"/>
      <c r="I43" s="73" t="s">
        <v>65</v>
      </c>
      <c r="J43" s="182" t="s">
        <v>118</v>
      </c>
      <c r="K43" s="164" t="str">
        <f ca="1">IFERROR(__xludf.DUMMYFUNCTION("IF(F43=G43,D43,GOOGLEFINANCE(CONCATENATE(F43,G43))*D43)"),"68.00")</f>
        <v>68.00</v>
      </c>
      <c r="L43" s="76" t="s">
        <v>119</v>
      </c>
      <c r="M43" s="165">
        <f ca="1">IFERROR(__xludf.DUMMYFUNCTION("VALUE(IF(F43=""USD"",D43,IF(F43=""EUR"",D43/GOOGLEFINANCE(CONCATENATE(N43,P43)),IF(F43=G43,D43/GOOGLEFINANCE(CONCATENATE(N43,L43))))))"),8.663314304)</f>
        <v>8.663314304</v>
      </c>
      <c r="N43" s="52" t="s">
        <v>86</v>
      </c>
      <c r="O43" s="165">
        <f ca="1">IFERROR(__xludf.DUMMYFUNCTION("VALUE(IF(F43=""EUR"",D43,IF(F43=""USD"",GOOGLEFINANCE(CONCATENATE(N43,P43))*D43,IF(F43=G43,D43/GOOGLEFINANCE(CONCATENATE(P43,L43))))))"),8.803614661)</f>
        <v>8.8036146609999992</v>
      </c>
      <c r="P43" s="52" t="s">
        <v>85</v>
      </c>
    </row>
    <row r="44" spans="1:16" ht="13" x14ac:dyDescent="0.15">
      <c r="A44" s="73" t="s">
        <v>72</v>
      </c>
      <c r="B44" s="182" t="s">
        <v>120</v>
      </c>
      <c r="C44" s="182"/>
      <c r="D44" s="131" t="s">
        <v>911</v>
      </c>
      <c r="E44" s="131"/>
      <c r="F44" s="76" t="s">
        <v>121</v>
      </c>
      <c r="G44" s="76" t="s">
        <v>121</v>
      </c>
      <c r="H44" s="77"/>
      <c r="I44" s="73" t="s">
        <v>72</v>
      </c>
      <c r="J44" s="182" t="s">
        <v>120</v>
      </c>
      <c r="K44" s="164" t="str">
        <f ca="1">IFERROR(__xludf.DUMMYFUNCTION("IF(F44=G44,D44,GOOGLEFINANCE(CONCATENATE(F44,G44))*D44)"),"1790.00")</f>
        <v>1790.00</v>
      </c>
      <c r="L44" s="76" t="s">
        <v>121</v>
      </c>
      <c r="M44" s="165">
        <f ca="1">IFERROR(__xludf.DUMMYFUNCTION("VALUE(IF(F44=""USD"",D44,IF(F44=""EUR"",D44/GOOGLEFINANCE(CONCATENATE(N44,P44)),IF(F44=G44,D44/GOOGLEFINANCE(CONCATENATE(N44,L44))))))"),4.307336911)</f>
        <v>4.3073369110000002</v>
      </c>
      <c r="N44" s="52" t="s">
        <v>86</v>
      </c>
      <c r="O44" s="165">
        <f ca="1">IFERROR(__xludf.DUMMYFUNCTION("VALUE(IF(F44=""EUR"",D44,IF(F44=""USD"",GOOGLEFINANCE(CONCATENATE(N44,P44))*D44,IF(F44=G44,D44/GOOGLEFINANCE(CONCATENATE(P44,L44))))))"),4.377882157)</f>
        <v>4.3778821570000002</v>
      </c>
      <c r="P44" s="52" t="s">
        <v>85</v>
      </c>
    </row>
    <row r="45" spans="1:16" ht="13" x14ac:dyDescent="0.15">
      <c r="A45" s="73" t="s">
        <v>626</v>
      </c>
      <c r="B45" s="182" t="s">
        <v>627</v>
      </c>
      <c r="C45" s="182"/>
      <c r="D45" s="131" t="s">
        <v>909</v>
      </c>
      <c r="E45" s="131"/>
      <c r="F45" s="96" t="s">
        <v>85</v>
      </c>
      <c r="G45" s="76" t="s">
        <v>328</v>
      </c>
      <c r="H45" s="77"/>
      <c r="I45" s="73" t="s">
        <v>626</v>
      </c>
      <c r="J45" s="182" t="s">
        <v>627</v>
      </c>
      <c r="K45" s="164">
        <f ca="1">IFERROR(__xludf.DUMMYFUNCTION("IF(F45=G45,D45,GOOGLEFINANCE(CONCATENATE(F45,G45))*D45)"),1206.51775615799)</f>
        <v>1206.5177561579901</v>
      </c>
      <c r="L45" s="76" t="s">
        <v>328</v>
      </c>
      <c r="M45" s="165">
        <f ca="1">IFERROR(__xludf.DUMMYFUNCTION("VALUE(IF(F45=""USD"",D45,IF(F45=""EUR"",D45/GOOGLEFINANCE(CONCATENATE(N45,P45)),IF(F45=G45,D45/GOOGLEFINANCE(CONCATENATE(N45,L45))))))"),8.353216087)</f>
        <v>8.3532160869999998</v>
      </c>
      <c r="N45" s="52" t="s">
        <v>86</v>
      </c>
      <c r="O45" s="165">
        <f ca="1">IFERROR(__xludf.DUMMYFUNCTION("VALUE(IF(F45=""EUR"",D45,IF(F45=""USD"",GOOGLEFINANCE(CONCATENATE(N45,P45))*D45,IF(F45=G45,D45/GOOGLEFINANCE(CONCATENATE(P45,L45))))))"),8.49)</f>
        <v>8.49</v>
      </c>
      <c r="P45" s="52" t="s">
        <v>85</v>
      </c>
    </row>
    <row r="46" spans="1:16" ht="13" x14ac:dyDescent="0.15">
      <c r="A46" s="73" t="s">
        <v>82</v>
      </c>
      <c r="B46" s="182" t="s">
        <v>122</v>
      </c>
      <c r="C46" s="182"/>
      <c r="D46" s="131" t="s">
        <v>716</v>
      </c>
      <c r="E46" s="131"/>
      <c r="F46" s="76" t="s">
        <v>123</v>
      </c>
      <c r="G46" s="76" t="s">
        <v>123</v>
      </c>
      <c r="H46" s="77"/>
      <c r="I46" s="73" t="s">
        <v>82</v>
      </c>
      <c r="J46" s="182" t="s">
        <v>122</v>
      </c>
      <c r="K46" s="164" t="str">
        <f ca="1">IFERROR(__xludf.DUMMYFUNCTION("IF(F46=G46,D46,GOOGLEFINANCE(CONCATENATE(F46,G46))*D46)"),"129.00")</f>
        <v>129.00</v>
      </c>
      <c r="L46" s="76" t="s">
        <v>123</v>
      </c>
      <c r="M46" s="165">
        <f ca="1">IFERROR(__xludf.DUMMYFUNCTION("VALUE(IF(F46=""USD"",D46,IF(F46=""EUR"",D46/GOOGLEFINANCE(CONCATENATE(N46,P46)),IF(F46=G46,D46/GOOGLEFINANCE(CONCATENATE(N46,L46))))))"),1.55940235)</f>
        <v>1.55940235</v>
      </c>
      <c r="N46" s="52" t="s">
        <v>86</v>
      </c>
      <c r="O46" s="165">
        <f ca="1">IFERROR(__xludf.DUMMYFUNCTION("VALUE(IF(F46=""EUR"",D46,IF(F46=""USD"",GOOGLEFINANCE(CONCATENATE(N46,P46))*D46,IF(F46=G46,D46/GOOGLEFINANCE(CONCATENATE(P46,L46))))))"),1.587008673)</f>
        <v>1.5870086729999999</v>
      </c>
      <c r="P46" s="52" t="s">
        <v>85</v>
      </c>
    </row>
    <row r="47" spans="1:16" ht="13" x14ac:dyDescent="0.15">
      <c r="A47" s="73" t="s">
        <v>76</v>
      </c>
      <c r="B47" s="182" t="s">
        <v>124</v>
      </c>
      <c r="C47" s="182"/>
      <c r="D47" s="131" t="s">
        <v>883</v>
      </c>
      <c r="E47" s="131"/>
      <c r="F47" s="76" t="s">
        <v>125</v>
      </c>
      <c r="G47" s="76" t="s">
        <v>125</v>
      </c>
      <c r="H47" s="77"/>
      <c r="I47" s="73" t="s">
        <v>76</v>
      </c>
      <c r="J47" s="182" t="s">
        <v>124</v>
      </c>
      <c r="K47" s="164" t="str">
        <f ca="1">IFERROR(__xludf.DUMMYFUNCTION("IF(F47=G47,D47,GOOGLEFINANCE(CONCATENATE(F47,G47))*D47)"),"59,000.00")</f>
        <v>59,000.00</v>
      </c>
      <c r="L47" s="76" t="s">
        <v>125</v>
      </c>
      <c r="M47" s="165">
        <f ca="1">IFERROR(__xludf.DUMMYFUNCTION("VALUE(IF(F47=""USD"",D47,IF(F47=""EUR"",D47/GOOGLEFINANCE(CONCATENATE(N47,P47)),IF(F47=G47,D47/GOOGLEFINANCE(CONCATENATE(N47,L47))))))"),3.787635617)</f>
        <v>3.7876356169999998</v>
      </c>
      <c r="N47" s="52" t="s">
        <v>86</v>
      </c>
      <c r="O47" s="165">
        <f ca="1">IFERROR(__xludf.DUMMYFUNCTION("VALUE(IF(F47=""EUR"",D47,IF(F47=""USD"",GOOGLEFINANCE(CONCATENATE(N47,P47))*D47,IF(F47=G47,D47/GOOGLEFINANCE(CONCATENATE(P47,L47))))))"),3.849457911)</f>
        <v>3.849457911</v>
      </c>
      <c r="P47" s="52" t="s">
        <v>85</v>
      </c>
    </row>
    <row r="48" spans="1:16" ht="13" x14ac:dyDescent="0.15">
      <c r="A48" s="86" t="s">
        <v>625</v>
      </c>
      <c r="B48" s="87" t="s">
        <v>324</v>
      </c>
      <c r="C48" s="87"/>
      <c r="D48" s="125"/>
      <c r="E48" s="125"/>
      <c r="F48" s="89" t="s">
        <v>325</v>
      </c>
      <c r="G48" s="89" t="s">
        <v>325</v>
      </c>
      <c r="H48" s="77"/>
      <c r="I48" s="86" t="s">
        <v>625</v>
      </c>
      <c r="J48" s="87" t="s">
        <v>324</v>
      </c>
      <c r="K48" s="164" t="str">
        <f ca="1">IFERROR(__xludf.DUMMYFUNCTION("IF(F48=G48,D48,GOOGLEFINANCE(CONCATENATE(F48,G48))*D48)"),"")</f>
        <v/>
      </c>
      <c r="L48" s="76" t="s">
        <v>325</v>
      </c>
      <c r="M48" s="165">
        <f ca="1">IFERROR(__xludf.DUMMYFUNCTION("VALUE(IF(F48=""USD"",D48,IF(F48=""EUR"",D48/GOOGLEFINANCE(CONCATENATE(N48,P48)),IF(F48=G48,D48/GOOGLEFINANCE(CONCATENATE(N48,L48))))))"),0)</f>
        <v>0</v>
      </c>
      <c r="N48" s="52" t="s">
        <v>86</v>
      </c>
      <c r="O48" s="165">
        <f ca="1">IFERROR(__xludf.DUMMYFUNCTION("VALUE(IF(F48=""EUR"",D48,IF(F48=""USD"",GOOGLEFINANCE(CONCATENATE(N48,P48))*D48,IF(F48=G48,D48/GOOGLEFINANCE(CONCATENATE(P48,L48))))))"),0)</f>
        <v>0</v>
      </c>
      <c r="P48" s="52" t="s">
        <v>85</v>
      </c>
    </row>
    <row r="49" spans="1:16" ht="13" x14ac:dyDescent="0.15">
      <c r="A49" s="86" t="s">
        <v>623</v>
      </c>
      <c r="B49" s="87" t="s">
        <v>624</v>
      </c>
      <c r="C49" s="87"/>
      <c r="D49" s="125"/>
      <c r="E49" s="125"/>
      <c r="F49" s="89" t="s">
        <v>322</v>
      </c>
      <c r="G49" s="89" t="s">
        <v>322</v>
      </c>
      <c r="H49" s="77"/>
      <c r="I49" s="86" t="s">
        <v>623</v>
      </c>
      <c r="J49" s="87" t="s">
        <v>624</v>
      </c>
      <c r="K49" s="164" t="str">
        <f ca="1">IFERROR(__xludf.DUMMYFUNCTION("IF(F49=G49,D49,GOOGLEFINANCE(CONCATENATE(F49,G49))*D49)"),"")</f>
        <v/>
      </c>
      <c r="L49" s="76" t="s">
        <v>322</v>
      </c>
      <c r="M49" s="165">
        <f ca="1">IFERROR(__xludf.DUMMYFUNCTION("VALUE(IF(F49=""USD"",D49,IF(F49=""EUR"",D49/GOOGLEFINANCE(CONCATENATE(N49,P49)),IF(F49=G49,D49/GOOGLEFINANCE(CONCATENATE(N49,L49))))))"),0)</f>
        <v>0</v>
      </c>
      <c r="N49" s="52" t="s">
        <v>86</v>
      </c>
      <c r="O49" s="165">
        <f ca="1">IFERROR(__xludf.DUMMYFUNCTION("VALUE(IF(F49=""EUR"",D49,IF(F49=""USD"",GOOGLEFINANCE(CONCATENATE(N49,P49))*D49,IF(F49=G49,D49/GOOGLEFINANCE(CONCATENATE(P49,L49))))))"),0)</f>
        <v>0</v>
      </c>
      <c r="P49" s="52" t="s">
        <v>85</v>
      </c>
    </row>
    <row r="50" spans="1:16" ht="13" x14ac:dyDescent="0.15">
      <c r="A50" s="73" t="s">
        <v>30</v>
      </c>
      <c r="B50" s="182" t="s">
        <v>126</v>
      </c>
      <c r="C50" s="182"/>
      <c r="E50" s="52"/>
      <c r="F50" s="76" t="s">
        <v>85</v>
      </c>
      <c r="G50" s="76" t="s">
        <v>85</v>
      </c>
      <c r="H50" s="77"/>
      <c r="I50" s="73" t="s">
        <v>30</v>
      </c>
      <c r="J50" s="182" t="s">
        <v>126</v>
      </c>
      <c r="K50" s="164" t="str">
        <f ca="1">IFERROR(__xludf.DUMMYFUNCTION("IF(F50=G50,D50,GOOGLEFINANCE(CONCATENATE(F50,G50))*D50)"),"")</f>
        <v/>
      </c>
      <c r="L50" s="76" t="s">
        <v>85</v>
      </c>
      <c r="M50" s="165">
        <f ca="1">IFERROR(__xludf.DUMMYFUNCTION("VALUE(IF(F50=""USD"",D50,IF(F50=""EUR"",D50/GOOGLEFINANCE(CONCATENATE(N50,P50)),IF(F50=G50,D50/GOOGLEFINANCE(CONCATENATE(N50,L50))))))"),0)</f>
        <v>0</v>
      </c>
      <c r="N50" s="52" t="s">
        <v>86</v>
      </c>
      <c r="O50" s="165">
        <f ca="1">IFERROR(__xludf.DUMMYFUNCTION("VALUE(IF(F50=""EUR"",D50,IF(F50=""USD"",GOOGLEFINANCE(CONCATENATE(N50,P50))*D50,IF(F50=G50,D50/GOOGLEFINANCE(CONCATENATE(P50,L50))))))"),0)</f>
        <v>0</v>
      </c>
      <c r="P50" s="52" t="s">
        <v>85</v>
      </c>
    </row>
    <row r="51" spans="1:16" ht="13" x14ac:dyDescent="0.15">
      <c r="A51" s="73" t="s">
        <v>38</v>
      </c>
      <c r="B51" s="182" t="s">
        <v>127</v>
      </c>
      <c r="C51" s="182"/>
      <c r="E51" s="52"/>
      <c r="F51" s="76" t="s">
        <v>128</v>
      </c>
      <c r="G51" s="76" t="s">
        <v>128</v>
      </c>
      <c r="H51" s="77"/>
      <c r="I51" s="73" t="s">
        <v>38</v>
      </c>
      <c r="J51" s="182" t="s">
        <v>127</v>
      </c>
      <c r="K51" s="164" t="str">
        <f ca="1">IFERROR(__xludf.DUMMYFUNCTION("IF(F51=G51,D51,GOOGLEFINANCE(CONCATENATE(F51,G51))*D51)"),"")</f>
        <v/>
      </c>
      <c r="L51" s="76" t="s">
        <v>128</v>
      </c>
      <c r="M51" s="165">
        <f ca="1">IFERROR(__xludf.DUMMYFUNCTION("VALUE(IF(F51=""USD"",D51,IF(F51=""EUR"",D51/GOOGLEFINANCE(CONCATENATE(N51,P51)),IF(F51=G51,D51/GOOGLEFINANCE(CONCATENATE(N51,L51))))))"),0)</f>
        <v>0</v>
      </c>
      <c r="N51" s="52" t="s">
        <v>86</v>
      </c>
      <c r="O51" s="165">
        <f ca="1">IFERROR(__xludf.DUMMYFUNCTION("VALUE(IF(F51=""EUR"",D51,IF(F51=""USD"",GOOGLEFINANCE(CONCATENATE(N51,P51))*D51,IF(F51=G51,D51/GOOGLEFINANCE(CONCATENATE(P51,L51))))))"),0)</f>
        <v>0</v>
      </c>
      <c r="P51" s="52" t="s">
        <v>85</v>
      </c>
    </row>
    <row r="52" spans="1:16" ht="13" x14ac:dyDescent="0.15">
      <c r="A52" s="73" t="s">
        <v>34</v>
      </c>
      <c r="B52" s="182" t="s">
        <v>129</v>
      </c>
      <c r="C52" s="182"/>
      <c r="D52" s="131" t="s">
        <v>595</v>
      </c>
      <c r="E52" s="131"/>
      <c r="F52" s="76" t="s">
        <v>85</v>
      </c>
      <c r="G52" s="76" t="s">
        <v>85</v>
      </c>
      <c r="H52" s="77"/>
      <c r="I52" s="73" t="s">
        <v>34</v>
      </c>
      <c r="J52" s="182" t="s">
        <v>129</v>
      </c>
      <c r="K52" s="164" t="str">
        <f ca="1">IFERROR(__xludf.DUMMYFUNCTION("IF(F52=G52,D52,GOOGLEFINANCE(CONCATENATE(F52,G52))*D52)"),"11.99")</f>
        <v>11.99</v>
      </c>
      <c r="L52" s="76" t="s">
        <v>85</v>
      </c>
      <c r="M52" s="165">
        <f ca="1">IFERROR(__xludf.DUMMYFUNCTION("VALUE(IF(F52=""USD"",D52,IF(F52=""EUR"",D52/GOOGLEFINANCE(CONCATENATE(N52,P52)),IF(F52=G52,D52/GOOGLEFINANCE(CONCATENATE(N52,L52))))))"),11.79682696)</f>
        <v>11.796826960000001</v>
      </c>
      <c r="N52" s="52" t="s">
        <v>86</v>
      </c>
      <c r="O52" s="165">
        <f ca="1">IFERROR(__xludf.DUMMYFUNCTION("VALUE(IF(F52=""EUR"",D52,IF(F52=""USD"",GOOGLEFINANCE(CONCATENATE(N52,P52))*D52,IF(F52=G52,D52/GOOGLEFINANCE(CONCATENATE(P52,L52))))))"),11.99)</f>
        <v>11.99</v>
      </c>
      <c r="P52" s="52" t="s">
        <v>85</v>
      </c>
    </row>
    <row r="53" spans="1:16" ht="13" x14ac:dyDescent="0.15">
      <c r="A53" s="86" t="s">
        <v>628</v>
      </c>
      <c r="B53" s="87" t="s">
        <v>629</v>
      </c>
      <c r="C53" s="87"/>
      <c r="D53" s="125"/>
      <c r="E53" s="125"/>
      <c r="F53" s="89" t="s">
        <v>333</v>
      </c>
      <c r="G53" s="89" t="s">
        <v>333</v>
      </c>
      <c r="H53" s="77"/>
      <c r="I53" s="86" t="s">
        <v>628</v>
      </c>
      <c r="J53" s="87" t="s">
        <v>629</v>
      </c>
      <c r="K53" s="164" t="str">
        <f ca="1">IFERROR(__xludf.DUMMYFUNCTION("IF(F53=G53,D53,GOOGLEFINANCE(CONCATENATE(F53,G53))*D53)"),"")</f>
        <v/>
      </c>
      <c r="L53" s="76" t="s">
        <v>333</v>
      </c>
      <c r="M53" s="165">
        <f ca="1">IFERROR(__xludf.DUMMYFUNCTION("VALUE(IF(F53=""USD"",D53,IF(F53=""EUR"",D53/GOOGLEFINANCE(CONCATENATE(N53,P53)),IF(F53=G53,D53/GOOGLEFINANCE(CONCATENATE(N53,L53))))))"),0)</f>
        <v>0</v>
      </c>
      <c r="N53" s="52" t="s">
        <v>86</v>
      </c>
      <c r="O53" s="165">
        <f ca="1">IFERROR(__xludf.DUMMYFUNCTION("VALUE(IF(F53=""EUR"",D53,IF(F53=""USD"",GOOGLEFINANCE(CONCATENATE(N53,P53))*D53,IF(F53=G53,D53/GOOGLEFINANCE(CONCATENATE(P53,L53))))))"),0)</f>
        <v>0</v>
      </c>
      <c r="P53" s="52" t="s">
        <v>85</v>
      </c>
    </row>
    <row r="54" spans="1:16" ht="13" x14ac:dyDescent="0.15">
      <c r="A54" s="73" t="s">
        <v>67</v>
      </c>
      <c r="B54" s="182" t="s">
        <v>130</v>
      </c>
      <c r="C54" s="182"/>
      <c r="D54" s="131" t="s">
        <v>912</v>
      </c>
      <c r="E54" s="131"/>
      <c r="F54" s="96" t="s">
        <v>131</v>
      </c>
      <c r="G54" s="96" t="s">
        <v>131</v>
      </c>
      <c r="H54" s="77"/>
      <c r="I54" s="73" t="s">
        <v>67</v>
      </c>
      <c r="J54" s="182" t="s">
        <v>130</v>
      </c>
      <c r="K54" s="164" t="str">
        <f ca="1">IFERROR(__xludf.DUMMYFUNCTION("IF(F54=G54,D54,GOOGLEFINANCE(CONCATENATE(F54,G54))*D54)"),"1,180.00")</f>
        <v>1,180.00</v>
      </c>
      <c r="L54" s="96" t="s">
        <v>131</v>
      </c>
      <c r="M54" s="165">
        <f ca="1">IFERROR(__xludf.DUMMYFUNCTION("VALUE(IF(F54=""USD"",D54,IF(F54=""EUR"",D54/GOOGLEFINANCE(CONCATENATE(N54,P54)),IF(F54=G54,D54/GOOGLEFINANCE(CONCATENATE(N54,L54))))))"),7.905005946)</f>
        <v>7.9050059460000002</v>
      </c>
      <c r="N54" s="52" t="s">
        <v>86</v>
      </c>
      <c r="O54" s="165">
        <f ca="1">IFERROR(__xludf.DUMMYFUNCTION("VALUE(IF(F54=""EUR"",D54,IF(F54=""USD"",GOOGLEFINANCE(CONCATENATE(N54,P54))*D54,IF(F54=G54,D54/GOOGLEFINANCE(CONCATENATE(P54,L54))))))"),8.034234007)</f>
        <v>8.0342340070000002</v>
      </c>
      <c r="P54" s="52" t="s">
        <v>85</v>
      </c>
    </row>
    <row r="55" spans="1:16" ht="13" x14ac:dyDescent="0.15">
      <c r="A55" s="86" t="s">
        <v>630</v>
      </c>
      <c r="B55" s="87" t="s">
        <v>631</v>
      </c>
      <c r="C55" s="87"/>
      <c r="D55" s="125"/>
      <c r="E55" s="125"/>
      <c r="F55" s="89" t="s">
        <v>336</v>
      </c>
      <c r="G55" s="89" t="s">
        <v>336</v>
      </c>
      <c r="H55" s="77"/>
      <c r="I55" s="86" t="s">
        <v>630</v>
      </c>
      <c r="J55" s="87" t="s">
        <v>631</v>
      </c>
      <c r="K55" s="164" t="str">
        <f ca="1">IFERROR(__xludf.DUMMYFUNCTION("IF(F55=G55,D55,GOOGLEFINANCE(CONCATENATE(F55,G55))*D55)"),"")</f>
        <v/>
      </c>
      <c r="L55" s="76" t="s">
        <v>336</v>
      </c>
      <c r="M55" s="165">
        <f ca="1">IFERROR(__xludf.DUMMYFUNCTION("VALUE(IF(F55=""USD"",D55,IF(F55=""EUR"",D55/GOOGLEFINANCE(CONCATENATE(N55,P55)),IF(F55=G55,D55/GOOGLEFINANCE(CONCATENATE(N55,L55))))))"),0)</f>
        <v>0</v>
      </c>
      <c r="N55" s="52" t="s">
        <v>86</v>
      </c>
      <c r="O55" s="165">
        <f ca="1">IFERROR(__xludf.DUMMYFUNCTION("VALUE(IF(F55=""EUR"",D55,IF(F55=""USD"",GOOGLEFINANCE(CONCATENATE(N55,P55))*D55,IF(F55=G55,D55/GOOGLEFINANCE(CONCATENATE(P55,L55))))))"),0)</f>
        <v>0</v>
      </c>
      <c r="P55" s="52" t="s">
        <v>85</v>
      </c>
    </row>
    <row r="56" spans="1:16" ht="13" x14ac:dyDescent="0.15">
      <c r="A56" s="86" t="s">
        <v>49</v>
      </c>
      <c r="B56" s="87" t="s">
        <v>132</v>
      </c>
      <c r="C56" s="87"/>
      <c r="D56" s="125"/>
      <c r="E56" s="125"/>
      <c r="F56" s="89" t="s">
        <v>133</v>
      </c>
      <c r="G56" s="89" t="s">
        <v>133</v>
      </c>
      <c r="H56" s="77"/>
      <c r="I56" s="86" t="s">
        <v>49</v>
      </c>
      <c r="J56" s="87" t="s">
        <v>132</v>
      </c>
      <c r="K56" s="164" t="str">
        <f ca="1">IFERROR(__xludf.DUMMYFUNCTION("IF(F56=G56,D56,GOOGLEFINANCE(CONCATENATE(F56,G56))*D56)"),"")</f>
        <v/>
      </c>
      <c r="L56" s="76" t="s">
        <v>133</v>
      </c>
      <c r="M56" s="165">
        <f ca="1">IFERROR(__xludf.DUMMYFUNCTION("VALUE(IF(F56=""USD"",D56,IF(F56=""EUR"",D56/GOOGLEFINANCE(CONCATENATE(N56,P56)),IF(F56=G56,D56/GOOGLEFINANCE(CONCATENATE(N56,L56))))))"),0)</f>
        <v>0</v>
      </c>
      <c r="N56" s="52" t="s">
        <v>86</v>
      </c>
      <c r="O56" s="165">
        <f ca="1">IFERROR(__xludf.DUMMYFUNCTION("VALUE(IF(F56=""EUR"",D56,IF(F56=""USD"",GOOGLEFINANCE(CONCATENATE(N56,P56))*D56,IF(F56=G56,D56/GOOGLEFINANCE(CONCATENATE(P56,L56))))))"),0)</f>
        <v>0</v>
      </c>
      <c r="P56" s="52" t="s">
        <v>85</v>
      </c>
    </row>
    <row r="57" spans="1:16" ht="13" x14ac:dyDescent="0.15">
      <c r="A57" s="86" t="s">
        <v>635</v>
      </c>
      <c r="B57" s="87" t="s">
        <v>636</v>
      </c>
      <c r="C57" s="87"/>
      <c r="D57" s="125"/>
      <c r="E57" s="125"/>
      <c r="F57" s="89" t="s">
        <v>341</v>
      </c>
      <c r="G57" s="89" t="s">
        <v>341</v>
      </c>
      <c r="H57" s="77"/>
      <c r="I57" s="86" t="s">
        <v>635</v>
      </c>
      <c r="J57" s="87" t="s">
        <v>636</v>
      </c>
      <c r="K57" s="164" t="str">
        <f ca="1">IFERROR(__xludf.DUMMYFUNCTION("IF(F57=G57,D57,GOOGLEFINANCE(CONCATENATE(F57,G57))*D57)"),"")</f>
        <v/>
      </c>
      <c r="L57" s="76" t="s">
        <v>341</v>
      </c>
      <c r="M57" s="165">
        <f ca="1">IFERROR(__xludf.DUMMYFUNCTION("VALUE(IF(F57=""USD"",D57,IF(F57=""EUR"",D57/GOOGLEFINANCE(CONCATENATE(N57,P57)),IF(F57=G57,D57/GOOGLEFINANCE(CONCATENATE(N57,L57))))))"),0)</f>
        <v>0</v>
      </c>
      <c r="N57" s="52" t="s">
        <v>86</v>
      </c>
      <c r="O57" s="165">
        <f ca="1">IFERROR(__xludf.DUMMYFUNCTION("VALUE(IF(F57=""EUR"",D57,IF(F57=""USD"",GOOGLEFINANCE(CONCATENATE(N57,P57))*D57,IF(F57=G57,D57/GOOGLEFINANCE(CONCATENATE(P57,L57))))))"),0)</f>
        <v>0</v>
      </c>
      <c r="P57" s="52" t="s">
        <v>85</v>
      </c>
    </row>
    <row r="58" spans="1:16" ht="13" x14ac:dyDescent="0.15">
      <c r="A58" s="73" t="s">
        <v>647</v>
      </c>
      <c r="B58" s="182" t="s">
        <v>648</v>
      </c>
      <c r="C58" s="182"/>
      <c r="E58" s="52"/>
      <c r="F58" s="76" t="s">
        <v>352</v>
      </c>
      <c r="G58" s="76" t="s">
        <v>352</v>
      </c>
      <c r="H58" s="77"/>
      <c r="I58" s="73" t="s">
        <v>647</v>
      </c>
      <c r="J58" s="182" t="s">
        <v>648</v>
      </c>
      <c r="K58" s="164" t="str">
        <f ca="1">IFERROR(__xludf.DUMMYFUNCTION("IF(F58=G58,D58,GOOGLEFINANCE(CONCATENATE(F58,G58))*D58)"),"")</f>
        <v/>
      </c>
      <c r="L58" s="76" t="s">
        <v>352</v>
      </c>
      <c r="M58" s="165">
        <f ca="1">IFERROR(__xludf.DUMMYFUNCTION("VALUE(IF(F58=""USD"",D58,IF(F58=""EUR"",D58/GOOGLEFINANCE(CONCATENATE(N58,P58)),IF(F58=G58,D58/GOOGLEFINANCE(CONCATENATE(N58,L58))))))"),0)</f>
        <v>0</v>
      </c>
      <c r="N58" s="52" t="s">
        <v>86</v>
      </c>
      <c r="O58" s="165">
        <f ca="1">IFERROR(__xludf.DUMMYFUNCTION("VALUE(IF(F58=""EUR"",D58,IF(F58=""USD"",GOOGLEFINANCE(CONCATENATE(N58,P58))*D58,IF(F58=G58,D58/GOOGLEFINANCE(CONCATENATE(P58,L58))))))"),0)</f>
        <v>0</v>
      </c>
      <c r="P58" s="52" t="s">
        <v>85</v>
      </c>
    </row>
    <row r="59" spans="1:16" ht="13" x14ac:dyDescent="0.15">
      <c r="A59" s="86" t="s">
        <v>640</v>
      </c>
      <c r="B59" s="87" t="s">
        <v>641</v>
      </c>
      <c r="C59" s="87"/>
      <c r="D59" s="125"/>
      <c r="E59" s="125"/>
      <c r="F59" s="89" t="s">
        <v>344</v>
      </c>
      <c r="G59" s="89" t="s">
        <v>344</v>
      </c>
      <c r="H59" s="77"/>
      <c r="I59" s="86" t="s">
        <v>640</v>
      </c>
      <c r="J59" s="87" t="s">
        <v>641</v>
      </c>
      <c r="K59" s="164" t="str">
        <f ca="1">IFERROR(__xludf.DUMMYFUNCTION("IF(F59=G59,D59,GOOGLEFINANCE(CONCATENATE(F59,G59))*D59)"),"")</f>
        <v/>
      </c>
      <c r="L59" s="76" t="s">
        <v>344</v>
      </c>
      <c r="M59" s="165">
        <f ca="1">IFERROR(__xludf.DUMMYFUNCTION("VALUE(IF(F59=""USD"",D59,IF(F59=""EUR"",D59/GOOGLEFINANCE(CONCATENATE(N59,P59)),IF(F59=G59,D59/GOOGLEFINANCE(CONCATENATE(N59,L59))))))"),0)</f>
        <v>0</v>
      </c>
      <c r="N59" s="52" t="s">
        <v>86</v>
      </c>
      <c r="O59" s="165">
        <f ca="1">IFERROR(__xludf.DUMMYFUNCTION("VALUE(IF(F59=""EUR"",D59,IF(F59=""USD"",GOOGLEFINANCE(CONCATENATE(N59,P59))*D59,IF(F59=G59,D59/GOOGLEFINANCE(CONCATENATE(P59,L59))))))"),0)</f>
        <v>0</v>
      </c>
      <c r="P59" s="52" t="s">
        <v>85</v>
      </c>
    </row>
    <row r="60" spans="1:16" ht="13" x14ac:dyDescent="0.15">
      <c r="A60" s="86" t="s">
        <v>650</v>
      </c>
      <c r="B60" s="87" t="s">
        <v>651</v>
      </c>
      <c r="C60" s="87"/>
      <c r="D60" s="125"/>
      <c r="E60" s="125"/>
      <c r="F60" s="89" t="s">
        <v>357</v>
      </c>
      <c r="G60" s="89" t="s">
        <v>357</v>
      </c>
      <c r="H60" s="77"/>
      <c r="I60" s="86" t="s">
        <v>650</v>
      </c>
      <c r="J60" s="87" t="s">
        <v>651</v>
      </c>
      <c r="K60" s="164" t="str">
        <f ca="1">IFERROR(__xludf.DUMMYFUNCTION("IF(F60=G60,D60,GOOGLEFINANCE(CONCATENATE(F60,G60))*D60)"),"")</f>
        <v/>
      </c>
      <c r="L60" s="76" t="s">
        <v>357</v>
      </c>
      <c r="M60" s="165">
        <f ca="1">IFERROR(__xludf.DUMMYFUNCTION("VALUE(IF(F60=""USD"",D60,IF(F60=""EUR"",D60/GOOGLEFINANCE(CONCATENATE(N60,P60)),IF(F60=G60,D60/GOOGLEFINANCE(CONCATENATE(N60,L60))))))"),0)</f>
        <v>0</v>
      </c>
      <c r="N60" s="52" t="s">
        <v>86</v>
      </c>
      <c r="O60" s="165">
        <f ca="1">IFERROR(__xludf.DUMMYFUNCTION("VALUE(IF(F60=""EUR"",D60,IF(F60=""USD"",GOOGLEFINANCE(CONCATENATE(N60,P60))*D60,IF(F60=G60,D60/GOOGLEFINANCE(CONCATENATE(P60,L60))))))"),0)</f>
        <v>0</v>
      </c>
      <c r="P60" s="52" t="s">
        <v>85</v>
      </c>
    </row>
    <row r="61" spans="1:16" ht="13" x14ac:dyDescent="0.15">
      <c r="A61" s="73" t="s">
        <v>44</v>
      </c>
      <c r="B61" s="182" t="s">
        <v>134</v>
      </c>
      <c r="C61" s="182"/>
      <c r="D61" s="131" t="s">
        <v>909</v>
      </c>
      <c r="E61" s="131"/>
      <c r="F61" s="76" t="s">
        <v>85</v>
      </c>
      <c r="G61" s="76" t="s">
        <v>85</v>
      </c>
      <c r="H61" s="77"/>
      <c r="I61" s="73" t="s">
        <v>44</v>
      </c>
      <c r="J61" s="182" t="s">
        <v>134</v>
      </c>
      <c r="K61" s="164" t="str">
        <f ca="1">IFERROR(__xludf.DUMMYFUNCTION("IF(F61=G61,D61,GOOGLEFINANCE(CONCATENATE(F61,G61))*D61)"),"8.49")</f>
        <v>8.49</v>
      </c>
      <c r="L61" s="76" t="s">
        <v>85</v>
      </c>
      <c r="M61" s="165">
        <f ca="1">IFERROR(__xludf.DUMMYFUNCTION("VALUE(IF(F61=""USD"",D61,IF(F61=""EUR"",D61/GOOGLEFINANCE(CONCATENATE(N61,P61)),IF(F61=G61,D61/GOOGLEFINANCE(CONCATENATE(N61,L61))))))"),8.353216087)</f>
        <v>8.3532160869999998</v>
      </c>
      <c r="N61" s="52" t="s">
        <v>86</v>
      </c>
      <c r="O61" s="165">
        <f ca="1">IFERROR(__xludf.DUMMYFUNCTION("VALUE(IF(F61=""EUR"",D61,IF(F61=""USD"",GOOGLEFINANCE(CONCATENATE(N61,P61))*D61,IF(F61=G61,D61/GOOGLEFINANCE(CONCATENATE(P61,L61))))))"),8.49)</f>
        <v>8.49</v>
      </c>
      <c r="P61" s="52" t="s">
        <v>85</v>
      </c>
    </row>
    <row r="62" spans="1:16" ht="13" x14ac:dyDescent="0.15">
      <c r="A62" s="73" t="s">
        <v>43</v>
      </c>
      <c r="B62" s="182" t="s">
        <v>135</v>
      </c>
      <c r="C62" s="182"/>
      <c r="D62" s="131" t="s">
        <v>909</v>
      </c>
      <c r="E62" s="131"/>
      <c r="F62" s="76" t="s">
        <v>85</v>
      </c>
      <c r="G62" s="76" t="s">
        <v>85</v>
      </c>
      <c r="H62" s="77"/>
      <c r="I62" s="73" t="s">
        <v>43</v>
      </c>
      <c r="J62" s="182" t="s">
        <v>135</v>
      </c>
      <c r="K62" s="164" t="str">
        <f ca="1">IFERROR(__xludf.DUMMYFUNCTION("IF(F62=G62,D62,GOOGLEFINANCE(CONCATENATE(F62,G62))*D62)"),"8.49")</f>
        <v>8.49</v>
      </c>
      <c r="L62" s="76" t="s">
        <v>85</v>
      </c>
      <c r="M62" s="165">
        <f ca="1">IFERROR(__xludf.DUMMYFUNCTION("VALUE(IF(F62=""USD"",D62,IF(F62=""EUR"",D62/GOOGLEFINANCE(CONCATENATE(N62,P62)),IF(F62=G62,D62/GOOGLEFINANCE(CONCATENATE(N62,L62))))))"),8.353216087)</f>
        <v>8.3532160869999998</v>
      </c>
      <c r="N62" s="52" t="s">
        <v>86</v>
      </c>
      <c r="O62" s="165">
        <f ca="1">IFERROR(__xludf.DUMMYFUNCTION("VALUE(IF(F62=""EUR"",D62,IF(F62=""USD"",GOOGLEFINANCE(CONCATENATE(N62,P62))*D62,IF(F62=G62,D62/GOOGLEFINANCE(CONCATENATE(P62,L62))))))"),8.49)</f>
        <v>8.49</v>
      </c>
      <c r="P62" s="52" t="s">
        <v>85</v>
      </c>
    </row>
    <row r="63" spans="1:16" ht="13" x14ac:dyDescent="0.15">
      <c r="A63" s="73" t="s">
        <v>653</v>
      </c>
      <c r="B63" s="182" t="s">
        <v>654</v>
      </c>
      <c r="C63" s="182"/>
      <c r="D63" s="131" t="s">
        <v>841</v>
      </c>
      <c r="E63" s="131"/>
      <c r="F63" s="76" t="s">
        <v>85</v>
      </c>
      <c r="G63" s="76" t="s">
        <v>85</v>
      </c>
      <c r="H63" s="77"/>
      <c r="I63" s="73" t="s">
        <v>653</v>
      </c>
      <c r="J63" s="182" t="s">
        <v>654</v>
      </c>
      <c r="K63" s="164" t="str">
        <f ca="1">IFERROR(__xludf.DUMMYFUNCTION("IF(F63=G63,D63,GOOGLEFINANCE(CONCATENATE(F63,G63))*D63)"),"6.99")</f>
        <v>6.99</v>
      </c>
      <c r="L63" s="76" t="s">
        <v>85</v>
      </c>
      <c r="M63" s="165">
        <f ca="1">IFERROR(__xludf.DUMMYFUNCTION("VALUE(IF(F63=""USD"",D63,IF(F63=""EUR"",D63/GOOGLEFINANCE(CONCATENATE(N63,P63)),IF(F63=G63,D63/GOOGLEFINANCE(CONCATENATE(N63,L63))))))"),6.877382856)</f>
        <v>6.8773828559999997</v>
      </c>
      <c r="N63" s="52" t="s">
        <v>86</v>
      </c>
      <c r="O63" s="165">
        <f ca="1">IFERROR(__xludf.DUMMYFUNCTION("VALUE(IF(F63=""EUR"",D63,IF(F63=""USD"",GOOGLEFINANCE(CONCATENATE(N63,P63))*D63,IF(F63=G63,D63/GOOGLEFINANCE(CONCATENATE(P63,L63))))))"),6.99)</f>
        <v>6.99</v>
      </c>
      <c r="P63" s="52" t="s">
        <v>85</v>
      </c>
    </row>
    <row r="64" spans="1:16" ht="13" x14ac:dyDescent="0.15">
      <c r="A64" s="86" t="s">
        <v>655</v>
      </c>
      <c r="B64" s="87" t="s">
        <v>656</v>
      </c>
      <c r="C64" s="87"/>
      <c r="D64" s="125"/>
      <c r="E64" s="125"/>
      <c r="F64" s="89" t="s">
        <v>381</v>
      </c>
      <c r="G64" s="89" t="s">
        <v>381</v>
      </c>
      <c r="H64" s="77"/>
      <c r="I64" s="86" t="s">
        <v>655</v>
      </c>
      <c r="J64" s="87" t="s">
        <v>656</v>
      </c>
      <c r="K64" s="164" t="str">
        <f ca="1">IFERROR(__xludf.DUMMYFUNCTION("IF(F64=G64,D64,GOOGLEFINANCE(CONCATENATE(F64,G64))*D64)"),"")</f>
        <v/>
      </c>
      <c r="L64" s="76" t="s">
        <v>381</v>
      </c>
      <c r="M64" s="165">
        <f ca="1">IFERROR(__xludf.DUMMYFUNCTION("VALUE(IF(F64=""USD"",D64,IF(F64=""EUR"",D64/GOOGLEFINANCE(CONCATENATE(N64,P64)),IF(F64=G64,D64/GOOGLEFINANCE(CONCATENATE(N64,L64))))))"),0)</f>
        <v>0</v>
      </c>
      <c r="N64" s="52" t="s">
        <v>86</v>
      </c>
      <c r="O64" s="165">
        <f ca="1">IFERROR(__xludf.DUMMYFUNCTION("VALUE(IF(F64=""EUR"",D64,IF(F64=""USD"",GOOGLEFINANCE(CONCATENATE(N64,P64))*D64,IF(F64=G64,D64/GOOGLEFINANCE(CONCATENATE(P64,L64))))))"),0)</f>
        <v>0</v>
      </c>
      <c r="P64" s="52" t="s">
        <v>85</v>
      </c>
    </row>
    <row r="65" spans="1:16" ht="13" x14ac:dyDescent="0.15">
      <c r="A65" s="73" t="s">
        <v>73</v>
      </c>
      <c r="B65" s="182" t="s">
        <v>136</v>
      </c>
      <c r="C65" s="182"/>
      <c r="D65" s="131" t="s">
        <v>913</v>
      </c>
      <c r="E65" s="131"/>
      <c r="F65" s="76" t="s">
        <v>137</v>
      </c>
      <c r="G65" s="76" t="s">
        <v>137</v>
      </c>
      <c r="H65" s="77"/>
      <c r="I65" s="73" t="s">
        <v>73</v>
      </c>
      <c r="J65" s="182" t="s">
        <v>136</v>
      </c>
      <c r="K65" s="164" t="str">
        <f ca="1">IFERROR(__xludf.DUMMYFUNCTION("IF(F65=G65,D65,GOOGLEFINANCE(CONCATENATE(F65,G65))*D65)"),"17.90")</f>
        <v>17.90</v>
      </c>
      <c r="L65" s="76" t="s">
        <v>137</v>
      </c>
      <c r="M65" s="165">
        <f ca="1">IFERROR(__xludf.DUMMYFUNCTION("VALUE(IF(F65=""USD"",D65,IF(F65=""EUR"",D65/GOOGLEFINANCE(CONCATENATE(N65,P65)),IF(F65=G65,D65/GOOGLEFINANCE(CONCATENATE(N65,L65))))))"),3.777965386)</f>
        <v>3.777965386</v>
      </c>
      <c r="N65" s="52" t="s">
        <v>86</v>
      </c>
      <c r="O65" s="165">
        <f ca="1">IFERROR(__xludf.DUMMYFUNCTION("VALUE(IF(F65=""EUR"",D65,IF(F65=""USD"",GOOGLEFINANCE(CONCATENATE(N65,P65))*D65,IF(F65=G65,D65/GOOGLEFINANCE(CONCATENATE(P65,L65))))))"),3.839629841)</f>
        <v>3.8396298409999998</v>
      </c>
      <c r="P65" s="52" t="s">
        <v>85</v>
      </c>
    </row>
    <row r="66" spans="1:16" ht="13" x14ac:dyDescent="0.15">
      <c r="A66" s="73" t="s">
        <v>657</v>
      </c>
      <c r="B66" s="182" t="s">
        <v>385</v>
      </c>
      <c r="C66" s="182"/>
      <c r="E66" s="52"/>
      <c r="F66" s="76" t="s">
        <v>85</v>
      </c>
      <c r="G66" s="76" t="s">
        <v>85</v>
      </c>
      <c r="H66" s="77"/>
      <c r="I66" s="73" t="s">
        <v>657</v>
      </c>
      <c r="J66" s="182" t="s">
        <v>385</v>
      </c>
      <c r="K66" s="164" t="str">
        <f ca="1">IFERROR(__xludf.DUMMYFUNCTION("IF(F66=G66,D66,GOOGLEFINANCE(CONCATENATE(F66,G66))*D66)"),"")</f>
        <v/>
      </c>
      <c r="L66" s="76" t="s">
        <v>85</v>
      </c>
      <c r="M66" s="165">
        <f ca="1">IFERROR(__xludf.DUMMYFUNCTION("VALUE(IF(F66=""USD"",D66,IF(F66=""EUR"",D66/GOOGLEFINANCE(CONCATENATE(N66,P66)),IF(F66=G66,D66/GOOGLEFINANCE(CONCATENATE(N66,L66))))))"),0)</f>
        <v>0</v>
      </c>
      <c r="N66" s="52" t="s">
        <v>86</v>
      </c>
      <c r="O66" s="165">
        <f ca="1">IFERROR(__xludf.DUMMYFUNCTION("VALUE(IF(F66=""EUR"",D66,IF(F66=""USD"",GOOGLEFINANCE(CONCATENATE(N66,P66))*D66,IF(F66=G66,D66/GOOGLEFINANCE(CONCATENATE(P66,L66))))))"),0)</f>
        <v>0</v>
      </c>
      <c r="P66" s="52" t="s">
        <v>85</v>
      </c>
    </row>
    <row r="67" spans="1:16" ht="13" x14ac:dyDescent="0.15">
      <c r="A67" s="86" t="s">
        <v>658</v>
      </c>
      <c r="B67" s="87" t="s">
        <v>387</v>
      </c>
      <c r="C67" s="87"/>
      <c r="D67" s="125"/>
      <c r="E67" s="125"/>
      <c r="F67" s="89" t="s">
        <v>388</v>
      </c>
      <c r="G67" s="89" t="s">
        <v>388</v>
      </c>
      <c r="H67" s="77"/>
      <c r="I67" s="86" t="s">
        <v>658</v>
      </c>
      <c r="J67" s="87" t="s">
        <v>387</v>
      </c>
      <c r="K67" s="164" t="str">
        <f ca="1">IFERROR(__xludf.DUMMYFUNCTION("IF(F67=G67,D67,GOOGLEFINANCE(CONCATENATE(F67,G67))*D67)"),"")</f>
        <v/>
      </c>
      <c r="L67" s="76" t="s">
        <v>388</v>
      </c>
      <c r="M67" s="165">
        <f ca="1">IFERROR(__xludf.DUMMYFUNCTION("VALUE(IF(F67=""USD"",D67,IF(F67=""EUR"",D67/GOOGLEFINANCE(CONCATENATE(N67,P67)),IF(F67=G67,D67/GOOGLEFINANCE(CONCATENATE(N67,L67))))))"),0)</f>
        <v>0</v>
      </c>
      <c r="N67" s="52" t="s">
        <v>86</v>
      </c>
      <c r="O67" s="165">
        <f ca="1">IFERROR(__xludf.DUMMYFUNCTION("VALUE(IF(F67=""EUR"",D67,IF(F67=""USD"",GOOGLEFINANCE(CONCATENATE(N67,P67))*D67,IF(F67=G67,D67/GOOGLEFINANCE(CONCATENATE(P67,L67))))))"),0)</f>
        <v>0</v>
      </c>
      <c r="P67" s="52" t="s">
        <v>85</v>
      </c>
    </row>
    <row r="68" spans="1:16" ht="13" x14ac:dyDescent="0.15">
      <c r="A68" s="73" t="s">
        <v>58</v>
      </c>
      <c r="B68" s="182" t="s">
        <v>138</v>
      </c>
      <c r="C68" s="182"/>
      <c r="D68" s="131" t="s">
        <v>595</v>
      </c>
      <c r="E68" s="131"/>
      <c r="F68" s="96" t="s">
        <v>86</v>
      </c>
      <c r="G68" s="76" t="s">
        <v>139</v>
      </c>
      <c r="H68" s="77"/>
      <c r="I68" s="73" t="s">
        <v>58</v>
      </c>
      <c r="J68" s="182" t="s">
        <v>138</v>
      </c>
      <c r="K68" s="164">
        <f ca="1">IFERROR(__xludf.DUMMYFUNCTION("IF(F68=G68,D68,GOOGLEFINANCE(CONCATENATE(F68,G68))*D68)"),239.3889828)</f>
        <v>239.38898280000001</v>
      </c>
      <c r="L68" s="76" t="s">
        <v>139</v>
      </c>
      <c r="M68" s="165">
        <f ca="1">IFERROR(__xludf.DUMMYFUNCTION("VALUE(IF(F68=""USD"",D68,IF(F68=""EUR"",D68/GOOGLEFINANCE(CONCATENATE(N68,P68)),IF(F68=G68,D68/GOOGLEFINANCE(CONCATENATE(N68,L68))))))"),11.99)</f>
        <v>11.99</v>
      </c>
      <c r="N68" s="52" t="s">
        <v>86</v>
      </c>
      <c r="O68" s="165">
        <f ca="1">IFERROR(__xludf.DUMMYFUNCTION("VALUE(IF(F68=""EUR"",D68,IF(F68=""USD"",GOOGLEFINANCE(CONCATENATE(N68,P68))*D68,IF(F68=G68,D68/GOOGLEFINANCE(CONCATENATE(P68,L68))))))"),12.18633625)</f>
        <v>12.18633625</v>
      </c>
      <c r="P68" s="52" t="s">
        <v>85</v>
      </c>
    </row>
    <row r="69" spans="1:16" ht="13" x14ac:dyDescent="0.15">
      <c r="A69" s="86" t="s">
        <v>51</v>
      </c>
      <c r="B69" s="87" t="s">
        <v>140</v>
      </c>
      <c r="C69" s="87"/>
      <c r="D69" s="125"/>
      <c r="E69" s="125"/>
      <c r="F69" s="89" t="s">
        <v>141</v>
      </c>
      <c r="G69" s="89" t="s">
        <v>141</v>
      </c>
      <c r="H69" s="77"/>
      <c r="I69" s="86" t="s">
        <v>51</v>
      </c>
      <c r="J69" s="87" t="s">
        <v>140</v>
      </c>
      <c r="K69" s="164" t="str">
        <f ca="1">IFERROR(__xludf.DUMMYFUNCTION("IF(F69=G69,D69,GOOGLEFINANCE(CONCATENATE(F69,G69))*D69)"),"")</f>
        <v/>
      </c>
      <c r="L69" s="76" t="s">
        <v>141</v>
      </c>
      <c r="M69" s="165">
        <f ca="1">IFERROR(__xludf.DUMMYFUNCTION("VALUE(IF(F69=""USD"",D69,IF(F69=""EUR"",D69/GOOGLEFINANCE(CONCATENATE(N69,P69)),IF(F69=G69,D69/GOOGLEFINANCE(CONCATENATE(N69,L69))))))"),0)</f>
        <v>0</v>
      </c>
      <c r="N69" s="52" t="s">
        <v>86</v>
      </c>
      <c r="O69" s="165">
        <f ca="1">IFERROR(__xludf.DUMMYFUNCTION("VALUE(IF(F69=""EUR"",D69,IF(F69=""USD"",GOOGLEFINANCE(CONCATENATE(N69,P69))*D69,IF(F69=G69,D69/GOOGLEFINANCE(CONCATENATE(P69,L69))))))"),0)</f>
        <v>0</v>
      </c>
      <c r="P69" s="52" t="s">
        <v>85</v>
      </c>
    </row>
    <row r="70" spans="1:16" ht="13" x14ac:dyDescent="0.15">
      <c r="A70" s="86" t="s">
        <v>55</v>
      </c>
      <c r="B70" s="87" t="s">
        <v>142</v>
      </c>
      <c r="C70" s="87"/>
      <c r="D70" s="125"/>
      <c r="E70" s="125"/>
      <c r="F70" s="89" t="s">
        <v>85</v>
      </c>
      <c r="G70" s="89" t="s">
        <v>85</v>
      </c>
      <c r="H70" s="77"/>
      <c r="I70" s="86" t="s">
        <v>55</v>
      </c>
      <c r="J70" s="87" t="s">
        <v>142</v>
      </c>
      <c r="K70" s="164" t="str">
        <f ca="1">IFERROR(__xludf.DUMMYFUNCTION("IF(F70=G70,D70,GOOGLEFINANCE(CONCATENATE(F70,G70))*D70)"),"")</f>
        <v/>
      </c>
      <c r="L70" s="76" t="s">
        <v>85</v>
      </c>
      <c r="M70" s="165">
        <f ca="1">IFERROR(__xludf.DUMMYFUNCTION("VALUE(IF(F70=""USD"",D70,IF(F70=""EUR"",D70/GOOGLEFINANCE(CONCATENATE(N70,P70)),IF(F70=G70,D70/GOOGLEFINANCE(CONCATENATE(N70,L70))))))"),0)</f>
        <v>0</v>
      </c>
      <c r="N70" s="52" t="s">
        <v>86</v>
      </c>
      <c r="O70" s="165">
        <f ca="1">IFERROR(__xludf.DUMMYFUNCTION("VALUE(IF(F70=""EUR"",D70,IF(F70=""USD"",GOOGLEFINANCE(CONCATENATE(N70,P70))*D70,IF(F70=G70,D70/GOOGLEFINANCE(CONCATENATE(P70,L70))))))"),0)</f>
        <v>0</v>
      </c>
      <c r="P70" s="52" t="s">
        <v>85</v>
      </c>
    </row>
    <row r="71" spans="1:16" ht="13" x14ac:dyDescent="0.15">
      <c r="A71" s="86" t="s">
        <v>665</v>
      </c>
      <c r="B71" s="87" t="s">
        <v>666</v>
      </c>
      <c r="C71" s="87"/>
      <c r="D71" s="125"/>
      <c r="E71" s="125"/>
      <c r="F71" s="89" t="s">
        <v>667</v>
      </c>
      <c r="G71" s="89" t="s">
        <v>667</v>
      </c>
      <c r="H71" s="77"/>
      <c r="I71" s="86" t="s">
        <v>665</v>
      </c>
      <c r="J71" s="87" t="s">
        <v>666</v>
      </c>
      <c r="K71" s="164" t="str">
        <f ca="1">IFERROR(__xludf.DUMMYFUNCTION("IF(F71=G71,D71,GOOGLEFINANCE(CONCATENATE(F71,G71))*D71)"),"")</f>
        <v/>
      </c>
      <c r="L71" s="76" t="s">
        <v>667</v>
      </c>
      <c r="M71" s="165">
        <f ca="1">IFERROR(__xludf.DUMMYFUNCTION("VALUE(IF(F71=""USD"",D71,IF(F71=""EUR"",D71/GOOGLEFINANCE(CONCATENATE(N71,P71)),IF(F71=G71,D71/GOOGLEFINANCE(CONCATENATE(N71,L71))))))"),0)</f>
        <v>0</v>
      </c>
      <c r="N71" s="52" t="s">
        <v>86</v>
      </c>
      <c r="O71" s="165">
        <f ca="1">IFERROR(__xludf.DUMMYFUNCTION("VALUE(IF(F71=""EUR"",D71,IF(F71=""USD"",GOOGLEFINANCE(CONCATENATE(N71,P71))*D71,IF(F71=G71,D71/GOOGLEFINANCE(CONCATENATE(P71,L71))))))"),0)</f>
        <v>0</v>
      </c>
      <c r="P71" s="52" t="s">
        <v>85</v>
      </c>
    </row>
    <row r="72" spans="1:16" ht="13" x14ac:dyDescent="0.15">
      <c r="A72" s="86" t="s">
        <v>668</v>
      </c>
      <c r="B72" s="87" t="s">
        <v>394</v>
      </c>
      <c r="C72" s="87"/>
      <c r="D72" s="125"/>
      <c r="E72" s="125"/>
      <c r="F72" s="89" t="s">
        <v>395</v>
      </c>
      <c r="G72" s="89" t="s">
        <v>395</v>
      </c>
      <c r="H72" s="77"/>
      <c r="I72" s="86" t="s">
        <v>668</v>
      </c>
      <c r="J72" s="87" t="s">
        <v>394</v>
      </c>
      <c r="K72" s="164" t="str">
        <f ca="1">IFERROR(__xludf.DUMMYFUNCTION("IF(F72=G72,D72,GOOGLEFINANCE(CONCATENATE(F72,G72))*D72)"),"")</f>
        <v/>
      </c>
      <c r="L72" s="76" t="s">
        <v>395</v>
      </c>
      <c r="M72" s="165">
        <f ca="1">IFERROR(__xludf.DUMMYFUNCTION("VALUE(IF(F72=""USD"",D72,IF(F72=""EUR"",D72/GOOGLEFINANCE(CONCATENATE(N72,P72)),IF(F72=G72,D72/GOOGLEFINANCE(CONCATENATE(N72,L72))))))"),0)</f>
        <v>0</v>
      </c>
      <c r="N72" s="52" t="s">
        <v>86</v>
      </c>
      <c r="O72" s="165">
        <f ca="1">IFERROR(__xludf.DUMMYFUNCTION("VALUE(IF(F72=""EUR"",D72,IF(F72=""USD"",GOOGLEFINANCE(CONCATENATE(N72,P72))*D72,IF(F72=G72,D72/GOOGLEFINANCE(CONCATENATE(P72,L72))))))"),0)</f>
        <v>0</v>
      </c>
      <c r="P72" s="52" t="s">
        <v>85</v>
      </c>
    </row>
    <row r="73" spans="1:16" ht="13" x14ac:dyDescent="0.15">
      <c r="A73" s="73" t="s">
        <v>39</v>
      </c>
      <c r="B73" s="182" t="s">
        <v>143</v>
      </c>
      <c r="C73" s="182"/>
      <c r="D73" s="131" t="s">
        <v>841</v>
      </c>
      <c r="E73" s="131"/>
      <c r="F73" s="76" t="s">
        <v>85</v>
      </c>
      <c r="G73" s="76" t="s">
        <v>85</v>
      </c>
      <c r="H73" s="77"/>
      <c r="I73" s="73" t="s">
        <v>39</v>
      </c>
      <c r="J73" s="182" t="s">
        <v>143</v>
      </c>
      <c r="K73" s="164" t="str">
        <f ca="1">IFERROR(__xludf.DUMMYFUNCTION("IF(F73=G73,D73,GOOGLEFINANCE(CONCATENATE(F73,G73))*D73)"),"6.99")</f>
        <v>6.99</v>
      </c>
      <c r="L73" s="76" t="s">
        <v>85</v>
      </c>
      <c r="M73" s="165">
        <f ca="1">IFERROR(__xludf.DUMMYFUNCTION("VALUE(IF(F73=""USD"",D73,IF(F73=""EUR"",D73/GOOGLEFINANCE(CONCATENATE(N73,P73)),IF(F73=G73,D73/GOOGLEFINANCE(CONCATENATE(N73,L73))))))"),6.877382856)</f>
        <v>6.8773828559999997</v>
      </c>
      <c r="N73" s="52" t="s">
        <v>86</v>
      </c>
      <c r="O73" s="165">
        <f ca="1">IFERROR(__xludf.DUMMYFUNCTION("VALUE(IF(F73=""EUR"",D73,IF(F73=""USD"",GOOGLEFINANCE(CONCATENATE(N73,P73))*D73,IF(F73=G73,D73/GOOGLEFINANCE(CONCATENATE(P73,L73))))))"),6.99)</f>
        <v>6.99</v>
      </c>
      <c r="P73" s="52" t="s">
        <v>85</v>
      </c>
    </row>
    <row r="74" spans="1:16" ht="13" x14ac:dyDescent="0.15">
      <c r="A74" s="73" t="s">
        <v>48</v>
      </c>
      <c r="B74" s="182" t="s">
        <v>144</v>
      </c>
      <c r="C74" s="182"/>
      <c r="D74" s="131" t="s">
        <v>515</v>
      </c>
      <c r="E74" s="131"/>
      <c r="F74" s="76" t="s">
        <v>145</v>
      </c>
      <c r="G74" s="76" t="s">
        <v>145</v>
      </c>
      <c r="H74" s="77"/>
      <c r="I74" s="73" t="s">
        <v>48</v>
      </c>
      <c r="J74" s="182" t="s">
        <v>144</v>
      </c>
      <c r="K74" s="164" t="str">
        <f ca="1">IFERROR(__xludf.DUMMYFUNCTION("IF(F74=G74,D74,GOOGLEFINANCE(CONCATENATE(F74,G74))*D74)"),"17.99")</f>
        <v>17.99</v>
      </c>
      <c r="L74" s="76" t="s">
        <v>145</v>
      </c>
      <c r="M74" s="165">
        <f ca="1">IFERROR(__xludf.DUMMYFUNCTION("VALUE(IF(F74=""USD"",D74,IF(F74=""EUR"",D74/GOOGLEFINANCE(CONCATENATE(N74,P74)),IF(F74=G74,D74/GOOGLEFINANCE(CONCATENATE(N74,L74))))))"),10.29270414)</f>
        <v>10.29270414</v>
      </c>
      <c r="N74" s="52" t="s">
        <v>86</v>
      </c>
      <c r="O74" s="165">
        <f ca="1">IFERROR(__xludf.DUMMYFUNCTION("VALUE(IF(F74=""EUR"",D74,IF(F74=""USD"",GOOGLEFINANCE(CONCATENATE(N74,P74))*D74,IF(F74=G74,D74/GOOGLEFINANCE(CONCATENATE(P74,L74))))))"),10.46118777)</f>
        <v>10.46118777</v>
      </c>
      <c r="P74" s="52" t="s">
        <v>85</v>
      </c>
    </row>
    <row r="75" spans="1:16" ht="13" x14ac:dyDescent="0.15">
      <c r="A75" s="73" t="s">
        <v>672</v>
      </c>
      <c r="B75" s="182" t="s">
        <v>673</v>
      </c>
      <c r="C75" s="182"/>
      <c r="E75" s="52"/>
      <c r="F75" s="76" t="s">
        <v>399</v>
      </c>
      <c r="G75" s="76" t="s">
        <v>399</v>
      </c>
      <c r="H75" s="77"/>
      <c r="I75" s="73" t="s">
        <v>672</v>
      </c>
      <c r="J75" s="182" t="s">
        <v>673</v>
      </c>
      <c r="K75" s="164" t="str">
        <f ca="1">IFERROR(__xludf.DUMMYFUNCTION("IF(F75=G75,D75,GOOGLEFINANCE(CONCATENATE(F75,G75))*D75)"),"")</f>
        <v/>
      </c>
      <c r="L75" s="76" t="s">
        <v>399</v>
      </c>
      <c r="M75" s="165">
        <f ca="1">IFERROR(__xludf.DUMMYFUNCTION("VALUE(IF(F75=""USD"",D75,IF(F75=""EUR"",D75/GOOGLEFINANCE(CONCATENATE(N75,P75)),IF(F75=G75,D75/GOOGLEFINANCE(CONCATENATE(N75,L75))))))"),0)</f>
        <v>0</v>
      </c>
      <c r="N75" s="52" t="s">
        <v>86</v>
      </c>
      <c r="O75" s="165">
        <f ca="1">IFERROR(__xludf.DUMMYFUNCTION("VALUE(IF(F75=""EUR"",D75,IF(F75=""USD"",GOOGLEFINANCE(CONCATENATE(N75,P75))*D75,IF(F75=G75,D75/GOOGLEFINANCE(CONCATENATE(P75,L75))))))"),0)</f>
        <v>0</v>
      </c>
      <c r="P75" s="52" t="s">
        <v>85</v>
      </c>
    </row>
    <row r="76" spans="1:16" ht="13" x14ac:dyDescent="0.15">
      <c r="A76" s="73" t="s">
        <v>66</v>
      </c>
      <c r="B76" s="182" t="s">
        <v>146</v>
      </c>
      <c r="C76" s="182"/>
      <c r="E76" s="52"/>
      <c r="F76" s="76" t="s">
        <v>147</v>
      </c>
      <c r="G76" s="76" t="s">
        <v>147</v>
      </c>
      <c r="H76" s="77"/>
      <c r="I76" s="73" t="s">
        <v>66</v>
      </c>
      <c r="J76" s="182" t="s">
        <v>146</v>
      </c>
      <c r="K76" s="164" t="str">
        <f ca="1">IFERROR(__xludf.DUMMYFUNCTION("IF(F76=G76,D76,GOOGLEFINANCE(CONCATENATE(F76,G76))*D76)"),"")</f>
        <v/>
      </c>
      <c r="L76" s="76" t="s">
        <v>147</v>
      </c>
      <c r="M76" s="165">
        <f ca="1">IFERROR(__xludf.DUMMYFUNCTION("VALUE(IF(F76=""USD"",D76,IF(F76=""EUR"",D76/GOOGLEFINANCE(CONCATENATE(N76,P76)),IF(F76=G76,D76/GOOGLEFINANCE(CONCATENATE(N76,L76))))))"),0)</f>
        <v>0</v>
      </c>
      <c r="N76" s="52" t="s">
        <v>86</v>
      </c>
      <c r="O76" s="165">
        <f ca="1">IFERROR(__xludf.DUMMYFUNCTION("VALUE(IF(F76=""EUR"",D76,IF(F76=""USD"",GOOGLEFINANCE(CONCATENATE(N76,P76))*D76,IF(F76=G76,D76/GOOGLEFINANCE(CONCATENATE(P76,L76))))))"),0)</f>
        <v>0</v>
      </c>
      <c r="P76" s="52" t="s">
        <v>85</v>
      </c>
    </row>
    <row r="77" spans="1:16" ht="13" x14ac:dyDescent="0.15">
      <c r="A77" s="73" t="s">
        <v>56</v>
      </c>
      <c r="B77" s="182" t="s">
        <v>148</v>
      </c>
      <c r="C77" s="182"/>
      <c r="D77" s="131" t="s">
        <v>909</v>
      </c>
      <c r="E77" s="131"/>
      <c r="F77" s="96" t="s">
        <v>86</v>
      </c>
      <c r="G77" s="76" t="s">
        <v>149</v>
      </c>
      <c r="H77" s="77"/>
      <c r="I77" s="73" t="s">
        <v>56</v>
      </c>
      <c r="J77" s="182" t="s">
        <v>148</v>
      </c>
      <c r="K77" s="164">
        <f ca="1">IFERROR(__xludf.DUMMYFUNCTION("IF(F77=G77,D77,GOOGLEFINANCE(CONCATENATE(F77,G77))*D77)"),531.3391788)</f>
        <v>531.33917880000001</v>
      </c>
      <c r="L77" s="76" t="s">
        <v>149</v>
      </c>
      <c r="M77" s="165">
        <f ca="1">IFERROR(__xludf.DUMMYFUNCTION("VALUE(IF(F77=""USD"",D77,IF(F77=""EUR"",D77/GOOGLEFINANCE(CONCATENATE(N77,P77)),IF(F77=G77,D77/GOOGLEFINANCE(CONCATENATE(N77,L77))))))"),8.49)</f>
        <v>8.49</v>
      </c>
      <c r="N77" s="52" t="s">
        <v>86</v>
      </c>
      <c r="O77" s="165">
        <f ca="1">IFERROR(__xludf.DUMMYFUNCTION("VALUE(IF(F77=""EUR"",D77,IF(F77=""USD"",GOOGLEFINANCE(CONCATENATE(N77,P77))*D77,IF(F77=G77,D77/GOOGLEFINANCE(CONCATENATE(P77,L77))))))"),8.62902375)</f>
        <v>8.62902375</v>
      </c>
      <c r="P77" s="52" t="s">
        <v>85</v>
      </c>
    </row>
    <row r="78" spans="1:16" ht="13" x14ac:dyDescent="0.15">
      <c r="A78" s="73" t="s">
        <v>35</v>
      </c>
      <c r="B78" s="182" t="s">
        <v>150</v>
      </c>
      <c r="C78" s="182"/>
      <c r="D78" s="131" t="s">
        <v>914</v>
      </c>
      <c r="E78" s="131"/>
      <c r="F78" s="76" t="s">
        <v>151</v>
      </c>
      <c r="G78" s="76" t="s">
        <v>151</v>
      </c>
      <c r="H78" s="77"/>
      <c r="I78" s="73" t="s">
        <v>35</v>
      </c>
      <c r="J78" s="182" t="s">
        <v>150</v>
      </c>
      <c r="K78" s="164" t="str">
        <f ca="1">IFERROR(__xludf.DUMMYFUNCTION("IF(F78=G78,D78,GOOGLEFINANCE(CONCATENATE(F78,G78))*D78)"),"69.00")</f>
        <v>69.00</v>
      </c>
      <c r="L78" s="76" t="s">
        <v>151</v>
      </c>
      <c r="M78" s="165">
        <f ca="1">IFERROR(__xludf.DUMMYFUNCTION("VALUE(IF(F78=""USD"",D78,IF(F78=""EUR"",D78/GOOGLEFINANCE(CONCATENATE(N78,P78)),IF(F78=G78,D78/GOOGLEFINANCE(CONCATENATE(N78,L78))))))"),6.521061137)</f>
        <v>6.5210611370000002</v>
      </c>
      <c r="N78" s="52" t="s">
        <v>86</v>
      </c>
      <c r="O78" s="165">
        <f ca="1">IFERROR(__xludf.DUMMYFUNCTION("VALUE(IF(F78=""EUR"",D78,IF(F78=""USD"",GOOGLEFINANCE(CONCATENATE(N78,P78))*D78,IF(F78=G78,D78/GOOGLEFINANCE(CONCATENATE(P78,L78))))))"),6.625441696)</f>
        <v>6.6254416960000002</v>
      </c>
      <c r="P78" s="52" t="s">
        <v>85</v>
      </c>
    </row>
    <row r="79" spans="1:16" ht="13" x14ac:dyDescent="0.15">
      <c r="A79" s="73" t="s">
        <v>680</v>
      </c>
      <c r="B79" s="182" t="s">
        <v>410</v>
      </c>
      <c r="C79" s="182"/>
      <c r="E79" s="52"/>
      <c r="F79" s="76" t="s">
        <v>411</v>
      </c>
      <c r="G79" s="76" t="s">
        <v>411</v>
      </c>
      <c r="H79" s="77"/>
      <c r="I79" s="73" t="s">
        <v>680</v>
      </c>
      <c r="J79" s="182" t="s">
        <v>410</v>
      </c>
      <c r="K79" s="164" t="str">
        <f ca="1">IFERROR(__xludf.DUMMYFUNCTION("IF(F79=G79,D79,GOOGLEFINANCE(CONCATENATE(F79,G79))*D79)"),"")</f>
        <v/>
      </c>
      <c r="L79" s="76" t="s">
        <v>411</v>
      </c>
      <c r="M79" s="165">
        <f ca="1">IFERROR(__xludf.DUMMYFUNCTION("VALUE(IF(F79=""USD"",D79,IF(F79=""EUR"",D79/GOOGLEFINANCE(CONCATENATE(N79,P79)),IF(F79=G79,D79/GOOGLEFINANCE(CONCATENATE(N79,L79))))))"),0)</f>
        <v>0</v>
      </c>
      <c r="N79" s="52" t="s">
        <v>86</v>
      </c>
      <c r="O79" s="165">
        <f ca="1">IFERROR(__xludf.DUMMYFUNCTION("VALUE(IF(F79=""EUR"",D79,IF(F79=""USD"",GOOGLEFINANCE(CONCATENATE(N79,P79))*D79,IF(F79=G79,D79/GOOGLEFINANCE(CONCATENATE(P79,L79))))))"),0)</f>
        <v>0</v>
      </c>
      <c r="P79" s="52" t="s">
        <v>85</v>
      </c>
    </row>
    <row r="80" spans="1:16" ht="13" x14ac:dyDescent="0.15">
      <c r="A80" s="86" t="s">
        <v>74</v>
      </c>
      <c r="B80" s="87" t="s">
        <v>152</v>
      </c>
      <c r="C80" s="87"/>
      <c r="D80" s="125"/>
      <c r="E80" s="125"/>
      <c r="F80" s="89" t="s">
        <v>153</v>
      </c>
      <c r="G80" s="89" t="s">
        <v>153</v>
      </c>
      <c r="H80" s="77"/>
      <c r="I80" s="86" t="s">
        <v>74</v>
      </c>
      <c r="J80" s="87" t="s">
        <v>152</v>
      </c>
      <c r="K80" s="164" t="str">
        <f ca="1">IFERROR(__xludf.DUMMYFUNCTION("IF(F80=G80,D80,GOOGLEFINANCE(CONCATENATE(F80,G80))*D80)"),"")</f>
        <v/>
      </c>
      <c r="L80" s="76" t="s">
        <v>153</v>
      </c>
      <c r="M80" s="165">
        <f ca="1">IFERROR(__xludf.DUMMYFUNCTION("VALUE(IF(F80=""USD"",D80,IF(F80=""EUR"",D80/GOOGLEFINANCE(CONCATENATE(N80,P80)),IF(F80=G80,D80/GOOGLEFINANCE(CONCATENATE(N80,L80))))))"),0)</f>
        <v>0</v>
      </c>
      <c r="N80" s="52" t="s">
        <v>86</v>
      </c>
      <c r="O80" s="165">
        <f ca="1">IFERROR(__xludf.DUMMYFUNCTION("VALUE(IF(F80=""EUR"",D80,IF(F80=""USD"",GOOGLEFINANCE(CONCATENATE(N80,P80))*D80,IF(F80=G80,D80/GOOGLEFINANCE(CONCATENATE(P80,L80))))))"),0)</f>
        <v>0</v>
      </c>
      <c r="P80" s="52" t="s">
        <v>85</v>
      </c>
    </row>
    <row r="81" spans="1:16" ht="13" x14ac:dyDescent="0.15">
      <c r="A81" s="73" t="s">
        <v>684</v>
      </c>
      <c r="B81" s="182" t="s">
        <v>413</v>
      </c>
      <c r="C81" s="182"/>
      <c r="E81" s="52"/>
      <c r="F81" s="76" t="s">
        <v>414</v>
      </c>
      <c r="G81" s="76" t="s">
        <v>414</v>
      </c>
      <c r="H81" s="77"/>
      <c r="I81" s="73" t="s">
        <v>684</v>
      </c>
      <c r="J81" s="182" t="s">
        <v>413</v>
      </c>
      <c r="K81" s="164" t="str">
        <f ca="1">IFERROR(__xludf.DUMMYFUNCTION("IF(F81=G81,D81,GOOGLEFINANCE(CONCATENATE(F81,G81))*D81)"),"")</f>
        <v/>
      </c>
      <c r="L81" s="76" t="s">
        <v>414</v>
      </c>
      <c r="M81" s="165">
        <f ca="1">IFERROR(__xludf.DUMMYFUNCTION("VALUE(IF(F81=""USD"",D81,IF(F81=""EUR"",D81/GOOGLEFINANCE(CONCATENATE(N81,P81)),IF(F81=G81,D81/GOOGLEFINANCE(CONCATENATE(N81,L81))))))"),0)</f>
        <v>0</v>
      </c>
      <c r="N81" s="52" t="s">
        <v>86</v>
      </c>
      <c r="O81" s="165">
        <f ca="1">IFERROR(__xludf.DUMMYFUNCTION("VALUE(IF(F81=""EUR"",D81,IF(F81=""USD"",GOOGLEFINANCE(CONCATENATE(N81,P81))*D81,IF(F81=G81,D81/GOOGLEFINANCE(CONCATENATE(P81,L81))))))"),0)</f>
        <v>0</v>
      </c>
      <c r="P81" s="52" t="s">
        <v>85</v>
      </c>
    </row>
    <row r="82" spans="1:16" ht="13" x14ac:dyDescent="0.15">
      <c r="A82" s="73" t="s">
        <v>702</v>
      </c>
      <c r="B82" s="182" t="s">
        <v>703</v>
      </c>
      <c r="C82" s="182"/>
      <c r="E82" s="52"/>
      <c r="F82" s="76" t="s">
        <v>427</v>
      </c>
      <c r="G82" s="76" t="s">
        <v>427</v>
      </c>
      <c r="H82" s="77"/>
      <c r="I82" s="73" t="s">
        <v>702</v>
      </c>
      <c r="J82" s="182" t="s">
        <v>703</v>
      </c>
      <c r="K82" s="164" t="str">
        <f ca="1">IFERROR(__xludf.DUMMYFUNCTION("IF(F82=G82,D82,GOOGLEFINANCE(CONCATENATE(F82,G82))*D82)"),"")</f>
        <v/>
      </c>
      <c r="L82" s="76" t="s">
        <v>427</v>
      </c>
      <c r="M82" s="165">
        <f ca="1">IFERROR(__xludf.DUMMYFUNCTION("VALUE(IF(F82=""USD"",D82,IF(F82=""EUR"",D82/GOOGLEFINANCE(CONCATENATE(N82,P82)),IF(F82=G82,D82/GOOGLEFINANCE(CONCATENATE(N82,L82))))))"),0)</f>
        <v>0</v>
      </c>
      <c r="N82" s="52" t="s">
        <v>86</v>
      </c>
      <c r="O82" s="165">
        <f ca="1">IFERROR(__xludf.DUMMYFUNCTION("VALUE(IF(F82=""EUR"",D82,IF(F82=""USD"",GOOGLEFINANCE(CONCATENATE(N82,P82))*D82,IF(F82=G82,D82/GOOGLEFINANCE(CONCATENATE(P82,L82))))))"),0)</f>
        <v>0</v>
      </c>
      <c r="P82" s="52" t="s">
        <v>85</v>
      </c>
    </row>
    <row r="83" spans="1:16" ht="13" x14ac:dyDescent="0.15">
      <c r="A83" s="73" t="s">
        <v>63</v>
      </c>
      <c r="B83" s="182" t="s">
        <v>154</v>
      </c>
      <c r="C83" s="182"/>
      <c r="E83" s="52"/>
      <c r="F83" s="76" t="s">
        <v>155</v>
      </c>
      <c r="G83" s="76" t="s">
        <v>155</v>
      </c>
      <c r="H83" s="77"/>
      <c r="I83" s="73" t="s">
        <v>63</v>
      </c>
      <c r="J83" s="182" t="s">
        <v>154</v>
      </c>
      <c r="K83" s="164" t="str">
        <f ca="1">IFERROR(__xludf.DUMMYFUNCTION("IF(F83=G83,D83,GOOGLEFINANCE(CONCATENATE(F83,G83))*D83)"),"")</f>
        <v/>
      </c>
      <c r="L83" s="76" t="s">
        <v>155</v>
      </c>
      <c r="M83" s="165">
        <f ca="1">IFERROR(__xludf.DUMMYFUNCTION("VALUE(IF(F83=""USD"",D83,IF(F83=""EUR"",D83/GOOGLEFINANCE(CONCATENATE(N83,P83)),IF(F83=G83,D83/GOOGLEFINANCE(CONCATENATE(N83,L83))))))"),0)</f>
        <v>0</v>
      </c>
      <c r="N83" s="52" t="s">
        <v>86</v>
      </c>
      <c r="O83" s="165">
        <f ca="1">IFERROR(__xludf.DUMMYFUNCTION("VALUE(IF(F83=""EUR"",D83,IF(F83=""USD"",GOOGLEFINANCE(CONCATENATE(N83,P83))*D83,IF(F83=G83,D83/GOOGLEFINANCE(CONCATENATE(P83,L83))))))"),0)</f>
        <v>0</v>
      </c>
      <c r="P83" s="52" t="s">
        <v>85</v>
      </c>
    </row>
    <row r="84" spans="1:16" ht="13" x14ac:dyDescent="0.15">
      <c r="A84" s="73" t="s">
        <v>81</v>
      </c>
      <c r="B84" s="182" t="s">
        <v>156</v>
      </c>
      <c r="C84" s="182"/>
      <c r="E84" s="52"/>
      <c r="F84" s="76" t="s">
        <v>157</v>
      </c>
      <c r="G84" s="76" t="s">
        <v>157</v>
      </c>
      <c r="H84" s="77"/>
      <c r="I84" s="73" t="s">
        <v>81</v>
      </c>
      <c r="J84" s="182" t="s">
        <v>156</v>
      </c>
      <c r="K84" s="164" t="str">
        <f ca="1">IFERROR(__xludf.DUMMYFUNCTION("IF(F84=G84,D84,GOOGLEFINANCE(CONCATENATE(F84,G84))*D84)"),"")</f>
        <v/>
      </c>
      <c r="L84" s="76" t="s">
        <v>157</v>
      </c>
      <c r="M84" s="165">
        <f ca="1">IFERROR(__xludf.DUMMYFUNCTION("VALUE(IF(F84=""USD"",D84,IF(F84=""EUR"",D84/GOOGLEFINANCE(CONCATENATE(N84,P84)),IF(F84=G84,D84/GOOGLEFINANCE(CONCATENATE(N84,L84))))))"),0)</f>
        <v>0</v>
      </c>
      <c r="N84" s="52" t="s">
        <v>86</v>
      </c>
      <c r="O84" s="165">
        <f ca="1">IFERROR(__xludf.DUMMYFUNCTION("VALUE(IF(F84=""EUR"",D84,IF(F84=""USD"",GOOGLEFINANCE(CONCATENATE(N84,P84))*D84,IF(F84=G84,D84/GOOGLEFINANCE(CONCATENATE(P84,L84))))))"),0)</f>
        <v>0</v>
      </c>
      <c r="P84" s="52" t="s">
        <v>85</v>
      </c>
    </row>
    <row r="85" spans="1:16" ht="13" x14ac:dyDescent="0.15">
      <c r="A85" s="73" t="s">
        <v>70</v>
      </c>
      <c r="B85" s="182" t="s">
        <v>158</v>
      </c>
      <c r="C85" s="182"/>
      <c r="D85" s="131" t="s">
        <v>915</v>
      </c>
      <c r="E85" s="131"/>
      <c r="F85" s="76" t="s">
        <v>159</v>
      </c>
      <c r="G85" s="76" t="s">
        <v>159</v>
      </c>
      <c r="H85" s="77"/>
      <c r="I85" s="73" t="s">
        <v>70</v>
      </c>
      <c r="J85" s="182" t="s">
        <v>158</v>
      </c>
      <c r="K85" s="164" t="str">
        <f ca="1">IFERROR(__xludf.DUMMYFUNCTION("IF(F85=G85,D85,GOOGLEFINANCE(CONCATENATE(F85,G85))*D85)"),"23.99")</f>
        <v>23.99</v>
      </c>
      <c r="L85" s="76" t="s">
        <v>159</v>
      </c>
      <c r="M85" s="165">
        <f ca="1">IFERROR(__xludf.DUMMYFUNCTION("VALUE(IF(F85=""USD"",D85,IF(F85=""EUR"",D85/GOOGLEFINANCE(CONCATENATE(N85,P85)),IF(F85=G85,D85/GOOGLEFINANCE(CONCATENATE(N85,L85))))))"),4.940381804)</f>
        <v>4.9403818040000003</v>
      </c>
      <c r="N85" s="52" t="s">
        <v>86</v>
      </c>
      <c r="O85" s="165">
        <f ca="1">IFERROR(__xludf.DUMMYFUNCTION("VALUE(IF(F85=""EUR"",D85,IF(F85=""USD"",GOOGLEFINANCE(CONCATENATE(N85,P85))*D85,IF(F85=G85,D85/GOOGLEFINANCE(CONCATENATE(P85,L85))))))"),5.021297081)</f>
        <v>5.0212970810000002</v>
      </c>
      <c r="P85" s="52" t="s">
        <v>85</v>
      </c>
    </row>
    <row r="86" spans="1:16" ht="13" x14ac:dyDescent="0.15">
      <c r="A86" s="73" t="s">
        <v>45</v>
      </c>
      <c r="B86" s="182" t="s">
        <v>160</v>
      </c>
      <c r="C86" s="182"/>
      <c r="D86" s="131" t="s">
        <v>909</v>
      </c>
      <c r="E86" s="131"/>
      <c r="F86" s="76" t="s">
        <v>85</v>
      </c>
      <c r="G86" s="76" t="s">
        <v>85</v>
      </c>
      <c r="H86" s="77"/>
      <c r="I86" s="73" t="s">
        <v>45</v>
      </c>
      <c r="J86" s="182" t="s">
        <v>160</v>
      </c>
      <c r="K86" s="164" t="str">
        <f ca="1">IFERROR(__xludf.DUMMYFUNCTION("IF(F86=G86,D86,GOOGLEFINANCE(CONCATENATE(F86,G86))*D86)"),"8.49")</f>
        <v>8.49</v>
      </c>
      <c r="L86" s="76" t="s">
        <v>85</v>
      </c>
      <c r="M86" s="165">
        <f ca="1">IFERROR(__xludf.DUMMYFUNCTION("VALUE(IF(F86=""USD"",D86,IF(F86=""EUR"",D86/GOOGLEFINANCE(CONCATENATE(N86,P86)),IF(F86=G86,D86/GOOGLEFINANCE(CONCATENATE(N86,L86))))))"),8.353216087)</f>
        <v>8.3532160869999998</v>
      </c>
      <c r="N86" s="52" t="s">
        <v>86</v>
      </c>
      <c r="O86" s="165">
        <f ca="1">IFERROR(__xludf.DUMMYFUNCTION("VALUE(IF(F86=""EUR"",D86,IF(F86=""USD"",GOOGLEFINANCE(CONCATENATE(N86,P86))*D86,IF(F86=G86,D86/GOOGLEFINANCE(CONCATENATE(P86,L86))))))"),8.49)</f>
        <v>8.49</v>
      </c>
      <c r="P86" s="52" t="s">
        <v>85</v>
      </c>
    </row>
    <row r="87" spans="1:16" ht="13" x14ac:dyDescent="0.15">
      <c r="A87" s="73" t="s">
        <v>697</v>
      </c>
      <c r="B87" s="182" t="s">
        <v>698</v>
      </c>
      <c r="C87" s="182"/>
      <c r="E87" s="52"/>
      <c r="F87" s="76" t="s">
        <v>86</v>
      </c>
      <c r="G87" s="76" t="s">
        <v>86</v>
      </c>
      <c r="H87" s="77"/>
      <c r="I87" s="73" t="s">
        <v>697</v>
      </c>
      <c r="J87" s="182" t="s">
        <v>698</v>
      </c>
      <c r="K87" s="164" t="str">
        <f ca="1">IFERROR(__xludf.DUMMYFUNCTION("IF(F87=G87,D87,GOOGLEFINANCE(CONCATENATE(F87,G87))*D87)"),"")</f>
        <v/>
      </c>
      <c r="L87" s="76" t="s">
        <v>86</v>
      </c>
      <c r="M87" s="165">
        <f ca="1">IFERROR(__xludf.DUMMYFUNCTION("VALUE(IF(F87=""USD"",D87,IF(F87=""EUR"",D87/GOOGLEFINANCE(CONCATENATE(N87,P87)),IF(F87=G87,D87/GOOGLEFINANCE(CONCATENATE(N87,L87))))))"),0)</f>
        <v>0</v>
      </c>
      <c r="N87" s="52" t="s">
        <v>86</v>
      </c>
      <c r="O87" s="165">
        <f ca="1">IFERROR(__xludf.DUMMYFUNCTION("VALUE(IF(F87=""EUR"",D87,IF(F87=""USD"",GOOGLEFINANCE(CONCATENATE(N87,P87))*D87,IF(F87=G87,D87/GOOGLEFINANCE(CONCATENATE(P87,L87))))))"),0)</f>
        <v>0</v>
      </c>
      <c r="P87" s="52" t="s">
        <v>85</v>
      </c>
    </row>
    <row r="88" spans="1:16" ht="13" x14ac:dyDescent="0.15">
      <c r="A88" s="73" t="s">
        <v>707</v>
      </c>
      <c r="B88" s="182" t="s">
        <v>708</v>
      </c>
      <c r="C88" s="182"/>
      <c r="E88" s="52"/>
      <c r="F88" s="76" t="s">
        <v>430</v>
      </c>
      <c r="G88" s="76" t="s">
        <v>430</v>
      </c>
      <c r="H88" s="77"/>
      <c r="I88" s="73" t="s">
        <v>707</v>
      </c>
      <c r="J88" s="182" t="s">
        <v>708</v>
      </c>
      <c r="K88" s="164" t="str">
        <f ca="1">IFERROR(__xludf.DUMMYFUNCTION("IF(F88=G88,D88,GOOGLEFINANCE(CONCATENATE(F88,G88))*D88)"),"")</f>
        <v/>
      </c>
      <c r="L88" s="76" t="s">
        <v>430</v>
      </c>
      <c r="M88" s="165">
        <f ca="1">IFERROR(__xludf.DUMMYFUNCTION("VALUE(IF(F88=""USD"",D88,IF(F88=""EUR"",D88/GOOGLEFINANCE(CONCATENATE(N88,P88)),IF(F88=G88,D88/GOOGLEFINANCE(CONCATENATE(N88,L88))))))"),0)</f>
        <v>0</v>
      </c>
      <c r="N88" s="52" t="s">
        <v>86</v>
      </c>
      <c r="O88" s="165">
        <f ca="1">IFERROR(__xludf.DUMMYFUNCTION("VALUE(IF(F88=""EUR"",D88,IF(F88=""USD"",GOOGLEFINANCE(CONCATENATE(N88,P88))*D88,IF(F88=G88,D88/GOOGLEFINANCE(CONCATENATE(P88,L88))))))"),0)</f>
        <v>0</v>
      </c>
      <c r="P88" s="52" t="s">
        <v>85</v>
      </c>
    </row>
    <row r="89" spans="1:16" ht="13" x14ac:dyDescent="0.15">
      <c r="A89" s="73" t="s">
        <v>64</v>
      </c>
      <c r="B89" s="182" t="s">
        <v>161</v>
      </c>
      <c r="C89" s="182"/>
      <c r="D89" s="131" t="s">
        <v>916</v>
      </c>
      <c r="E89" s="131"/>
      <c r="F89" s="76" t="s">
        <v>162</v>
      </c>
      <c r="G89" s="76" t="s">
        <v>162</v>
      </c>
      <c r="H89" s="77"/>
      <c r="I89" s="73" t="s">
        <v>64</v>
      </c>
      <c r="J89" s="182" t="s">
        <v>161</v>
      </c>
      <c r="K89" s="164" t="str">
        <f ca="1">IFERROR(__xludf.DUMMYFUNCTION("IF(F89=G89,D89,GOOGLEFINANCE(CONCATENATE(F89,G89))*D89)"),"26.00")</f>
        <v>26.00</v>
      </c>
      <c r="L89" s="76" t="s">
        <v>162</v>
      </c>
      <c r="M89" s="165">
        <f ca="1">IFERROR(__xludf.DUMMYFUNCTION("VALUE(IF(F89=""USD"",D89,IF(F89=""EUR"",D89/GOOGLEFINANCE(CONCATENATE(N89,P89)),IF(F89=G89,D89/GOOGLEFINANCE(CONCATENATE(N89,L89))))))"),5.206513348)</f>
        <v>5.2065133479999997</v>
      </c>
      <c r="N89" s="52" t="s">
        <v>86</v>
      </c>
      <c r="O89" s="165">
        <f ca="1">IFERROR(__xludf.DUMMYFUNCTION("VALUE(IF(F89=""EUR"",D89,IF(F89=""USD"",GOOGLEFINANCE(CONCATENATE(N89,P89))*D89,IF(F89=G89,D89/GOOGLEFINANCE(CONCATENATE(P89,L89))))))"),5.288360124)</f>
        <v>5.2883601240000004</v>
      </c>
      <c r="P89" s="52" t="s">
        <v>85</v>
      </c>
    </row>
    <row r="90" spans="1:16" ht="13" x14ac:dyDescent="0.15">
      <c r="A90" s="86" t="s">
        <v>709</v>
      </c>
      <c r="B90" s="87" t="s">
        <v>710</v>
      </c>
      <c r="C90" s="87"/>
      <c r="D90" s="125"/>
      <c r="E90" s="125"/>
      <c r="F90" s="89" t="s">
        <v>436</v>
      </c>
      <c r="G90" s="89" t="s">
        <v>436</v>
      </c>
      <c r="H90" s="77"/>
      <c r="I90" s="86" t="s">
        <v>709</v>
      </c>
      <c r="J90" s="87" t="s">
        <v>710</v>
      </c>
      <c r="K90" s="164" t="str">
        <f ca="1">IFERROR(__xludf.DUMMYFUNCTION("IF(F90=G90,D90,GOOGLEFINANCE(CONCATENATE(F90,G90))*D90)"),"")</f>
        <v/>
      </c>
      <c r="L90" s="76" t="s">
        <v>436</v>
      </c>
      <c r="M90" s="165">
        <f ca="1">IFERROR(__xludf.DUMMYFUNCTION("VALUE(IF(F90=""USD"",D90,IF(F90=""EUR"",D90/GOOGLEFINANCE(CONCATENATE(N90,P90)),IF(F90=G90,D90/GOOGLEFINANCE(CONCATENATE(N90,L90))))))"),0)</f>
        <v>0</v>
      </c>
      <c r="N90" s="52" t="s">
        <v>86</v>
      </c>
      <c r="O90" s="165">
        <f ca="1">IFERROR(__xludf.DUMMYFUNCTION("VALUE(IF(F90=""EUR"",D90,IF(F90=""USD"",GOOGLEFINANCE(CONCATENATE(N90,P90))*D90,IF(F90=G90,D90/GOOGLEFINANCE(CONCATENATE(P90,L90))))))"),0)</f>
        <v>0</v>
      </c>
      <c r="P90" s="52" t="s">
        <v>85</v>
      </c>
    </row>
    <row r="91" spans="1:16" ht="13" x14ac:dyDescent="0.15">
      <c r="A91" s="86" t="s">
        <v>712</v>
      </c>
      <c r="B91" s="87" t="s">
        <v>438</v>
      </c>
      <c r="C91" s="87"/>
      <c r="D91" s="125"/>
      <c r="E91" s="125"/>
      <c r="F91" s="89" t="s">
        <v>439</v>
      </c>
      <c r="G91" s="89" t="s">
        <v>439</v>
      </c>
      <c r="H91" s="77"/>
      <c r="I91" s="86" t="s">
        <v>712</v>
      </c>
      <c r="J91" s="87" t="s">
        <v>438</v>
      </c>
      <c r="K91" s="164" t="str">
        <f ca="1">IFERROR(__xludf.DUMMYFUNCTION("IF(F91=G91,D91,GOOGLEFINANCE(CONCATENATE(F91,G91))*D91)"),"")</f>
        <v/>
      </c>
      <c r="L91" s="76" t="s">
        <v>439</v>
      </c>
      <c r="M91" s="165">
        <f ca="1">IFERROR(__xludf.DUMMYFUNCTION("VALUE(IF(F91=""USD"",D91,IF(F91=""EUR"",D91/GOOGLEFINANCE(CONCATENATE(N91,P91)),IF(F91=G91,D91/GOOGLEFINANCE(CONCATENATE(N91,L91))))))"),0)</f>
        <v>0</v>
      </c>
      <c r="N91" s="52" t="s">
        <v>86</v>
      </c>
      <c r="O91" s="165">
        <f ca="1">IFERROR(__xludf.DUMMYFUNCTION("VALUE(IF(F91=""EUR"",D91,IF(F91=""USD"",GOOGLEFINANCE(CONCATENATE(N91,P91))*D91,IF(F91=G91,D91/GOOGLEFINANCE(CONCATENATE(P91,L91))))))"),0)</f>
        <v>0</v>
      </c>
      <c r="P91" s="52" t="s">
        <v>85</v>
      </c>
    </row>
    <row r="92" spans="1:16" ht="13" x14ac:dyDescent="0.15">
      <c r="A92" s="73" t="s">
        <v>59</v>
      </c>
      <c r="B92" s="182" t="s">
        <v>163</v>
      </c>
      <c r="C92" s="182"/>
      <c r="E92" s="52"/>
      <c r="F92" s="76" t="s">
        <v>164</v>
      </c>
      <c r="G92" s="76" t="s">
        <v>164</v>
      </c>
      <c r="H92" s="77"/>
      <c r="I92" s="73" t="s">
        <v>59</v>
      </c>
      <c r="J92" s="182" t="s">
        <v>163</v>
      </c>
      <c r="K92" s="164" t="str">
        <f ca="1">IFERROR(__xludf.DUMMYFUNCTION("IF(F92=G92,D92,GOOGLEFINANCE(CONCATENATE(F92,G92))*D92)"),"")</f>
        <v/>
      </c>
      <c r="L92" s="76" t="s">
        <v>164</v>
      </c>
      <c r="M92" s="165">
        <f ca="1">IFERROR(__xludf.DUMMYFUNCTION("VALUE(IF(F92=""USD"",D92,IF(F92=""EUR"",D92/GOOGLEFINANCE(CONCATENATE(N92,P92)),IF(F92=G92,D92/GOOGLEFINANCE(CONCATENATE(N92,L92))))))"),0)</f>
        <v>0</v>
      </c>
      <c r="N92" s="52" t="s">
        <v>86</v>
      </c>
      <c r="O92" s="165">
        <f ca="1">IFERROR(__xludf.DUMMYFUNCTION("VALUE(IF(F92=""EUR"",D92,IF(F92=""USD"",GOOGLEFINANCE(CONCATENATE(N92,P92))*D92,IF(F92=G92,D92/GOOGLEFINANCE(CONCATENATE(P92,L92))))))"),0)</f>
        <v>0</v>
      </c>
      <c r="P92" s="52" t="s">
        <v>85</v>
      </c>
    </row>
    <row r="93" spans="1:16" ht="13" x14ac:dyDescent="0.15">
      <c r="A93" s="73" t="s">
        <v>50</v>
      </c>
      <c r="B93" s="182" t="s">
        <v>165</v>
      </c>
      <c r="C93" s="182"/>
      <c r="E93" s="52"/>
      <c r="F93" s="76" t="s">
        <v>166</v>
      </c>
      <c r="G93" s="76" t="s">
        <v>166</v>
      </c>
      <c r="H93" s="77"/>
      <c r="I93" s="73" t="s">
        <v>50</v>
      </c>
      <c r="J93" s="182" t="s">
        <v>165</v>
      </c>
      <c r="K93" s="164" t="str">
        <f ca="1">IFERROR(__xludf.DUMMYFUNCTION("IF(F93=G93,D93,GOOGLEFINANCE(CONCATENATE(F93,G93))*D93)"),"")</f>
        <v/>
      </c>
      <c r="L93" s="76" t="s">
        <v>166</v>
      </c>
      <c r="M93" s="165">
        <f ca="1">IFERROR(__xludf.DUMMYFUNCTION("VALUE(IF(F93=""USD"",D93,IF(F93=""EUR"",D93/GOOGLEFINANCE(CONCATENATE(N93,P93)),IF(F93=G93,D93/GOOGLEFINANCE(CONCATENATE(N93,L93))))))"),0)</f>
        <v>0</v>
      </c>
      <c r="N93" s="52" t="s">
        <v>86</v>
      </c>
      <c r="O93" s="165">
        <f ca="1">IFERROR(__xludf.DUMMYFUNCTION("VALUE(IF(F93=""EUR"",D93,IF(F93=""USD"",GOOGLEFINANCE(CONCATENATE(N93,P93))*D93,IF(F93=G93,D93/GOOGLEFINANCE(CONCATENATE(P93,L93))))))"),0)</f>
        <v>0</v>
      </c>
      <c r="P93" s="52" t="s">
        <v>85</v>
      </c>
    </row>
    <row r="94" spans="1:16" ht="13" x14ac:dyDescent="0.15">
      <c r="A94" s="73" t="s">
        <v>61</v>
      </c>
      <c r="B94" s="182" t="s">
        <v>167</v>
      </c>
      <c r="C94" s="182"/>
      <c r="D94" s="131" t="s">
        <v>917</v>
      </c>
      <c r="E94" s="131"/>
      <c r="F94" s="76" t="s">
        <v>168</v>
      </c>
      <c r="G94" s="76" t="s">
        <v>168</v>
      </c>
      <c r="H94" s="77"/>
      <c r="I94" s="73" t="s">
        <v>61</v>
      </c>
      <c r="J94" s="182" t="s">
        <v>167</v>
      </c>
      <c r="K94" s="164" t="str">
        <f ca="1">IFERROR(__xludf.DUMMYFUNCTION("IF(F94=G94,D94,GOOGLEFINANCE(CONCATENATE(F94,G94))*D94)"),"11.98")</f>
        <v>11.98</v>
      </c>
      <c r="L94" s="76" t="s">
        <v>168</v>
      </c>
      <c r="M94" s="165">
        <f ca="1">IFERROR(__xludf.DUMMYFUNCTION("VALUE(IF(F94=""USD"",D94,IF(F94=""EUR"",D94/GOOGLEFINANCE(CONCATENATE(N94,P94)),IF(F94=G94,D94/GOOGLEFINANCE(CONCATENATE(N94,L94))))))"),8.43246287)</f>
        <v>8.4324628700000002</v>
      </c>
      <c r="N94" s="52" t="s">
        <v>86</v>
      </c>
      <c r="O94" s="165">
        <f ca="1">IFERROR(__xludf.DUMMYFUNCTION("VALUE(IF(F94=""EUR"",D94,IF(F94=""USD"",GOOGLEFINANCE(CONCATENATE(N94,P94))*D94,IF(F94=G94,D94/GOOGLEFINANCE(CONCATENATE(P94,L94))))))"),8.570580303)</f>
        <v>8.5705803029999998</v>
      </c>
      <c r="P94" s="52" t="s">
        <v>85</v>
      </c>
    </row>
    <row r="95" spans="1:16" ht="13" x14ac:dyDescent="0.15">
      <c r="A95" s="73" t="s">
        <v>47</v>
      </c>
      <c r="B95" s="182" t="s">
        <v>169</v>
      </c>
      <c r="C95" s="182"/>
      <c r="D95" s="131" t="s">
        <v>918</v>
      </c>
      <c r="E95" s="131"/>
      <c r="F95" s="76" t="s">
        <v>85</v>
      </c>
      <c r="G95" s="76" t="s">
        <v>85</v>
      </c>
      <c r="H95" s="77"/>
      <c r="I95" s="73" t="s">
        <v>47</v>
      </c>
      <c r="J95" s="182" t="s">
        <v>169</v>
      </c>
      <c r="K95" s="164" t="str">
        <f ca="1">IFERROR(__xludf.DUMMYFUNCTION("IF(F95=G95,D95,GOOGLEFINANCE(CONCATENATE(F95,G95))*D95)"),"7.19")</f>
        <v>7.19</v>
      </c>
      <c r="L95" s="76" t="s">
        <v>85</v>
      </c>
      <c r="M95" s="165">
        <f ca="1">IFERROR(__xludf.DUMMYFUNCTION("VALUE(IF(F95=""USD"",D95,IF(F95=""EUR"",D95/GOOGLEFINANCE(CONCATENATE(N95,P95)),IF(F95=G95,D95/GOOGLEFINANCE(CONCATENATE(N95,L95))))))"),7.07416062)</f>
        <v>7.0741606199999998</v>
      </c>
      <c r="N95" s="52" t="s">
        <v>86</v>
      </c>
      <c r="O95" s="165">
        <f ca="1">IFERROR(__xludf.DUMMYFUNCTION("VALUE(IF(F95=""EUR"",D95,IF(F95=""USD"",GOOGLEFINANCE(CONCATENATE(N95,P95))*D95,IF(F95=G95,D95/GOOGLEFINANCE(CONCATENATE(P95,L95))))))"),7.19)</f>
        <v>7.19</v>
      </c>
      <c r="P95" s="52" t="s">
        <v>85</v>
      </c>
    </row>
    <row r="96" spans="1:16" ht="13" x14ac:dyDescent="0.15">
      <c r="A96" s="73" t="s">
        <v>721</v>
      </c>
      <c r="B96" s="182" t="s">
        <v>722</v>
      </c>
      <c r="C96" s="182"/>
      <c r="E96" s="52"/>
      <c r="F96" s="76" t="s">
        <v>85</v>
      </c>
      <c r="G96" s="76" t="s">
        <v>85</v>
      </c>
      <c r="H96" s="77"/>
      <c r="I96" s="73" t="s">
        <v>721</v>
      </c>
      <c r="J96" s="182" t="s">
        <v>722</v>
      </c>
      <c r="K96" s="164" t="str">
        <f ca="1">IFERROR(__xludf.DUMMYFUNCTION("IF(F96=G96,D96,GOOGLEFINANCE(CONCATENATE(F96,G96))*D96)"),"")</f>
        <v/>
      </c>
      <c r="L96" s="76" t="s">
        <v>85</v>
      </c>
      <c r="M96" s="165">
        <f ca="1">IFERROR(__xludf.DUMMYFUNCTION("VALUE(IF(F96=""USD"",D96,IF(F96=""EUR"",D96/GOOGLEFINANCE(CONCATENATE(N96,P96)),IF(F96=G96,D96/GOOGLEFINANCE(CONCATENATE(N96,L96))))))"),0)</f>
        <v>0</v>
      </c>
      <c r="N96" s="52" t="s">
        <v>86</v>
      </c>
      <c r="O96" s="165">
        <f ca="1">IFERROR(__xludf.DUMMYFUNCTION("VALUE(IF(F96=""EUR"",D96,IF(F96=""USD"",GOOGLEFINANCE(CONCATENATE(N96,P96))*D96,IF(F96=G96,D96/GOOGLEFINANCE(CONCATENATE(P96,L96))))))"),0)</f>
        <v>0</v>
      </c>
      <c r="P96" s="52" t="s">
        <v>85</v>
      </c>
    </row>
    <row r="97" spans="1:16" ht="13" x14ac:dyDescent="0.15">
      <c r="A97" s="73" t="s">
        <v>75</v>
      </c>
      <c r="B97" s="182" t="s">
        <v>170</v>
      </c>
      <c r="C97" s="182"/>
      <c r="D97" s="131" t="s">
        <v>908</v>
      </c>
      <c r="E97" s="131"/>
      <c r="F97" s="76" t="s">
        <v>171</v>
      </c>
      <c r="G97" s="76" t="s">
        <v>171</v>
      </c>
      <c r="H97" s="77"/>
      <c r="I97" s="73" t="s">
        <v>75</v>
      </c>
      <c r="J97" s="182" t="s">
        <v>170</v>
      </c>
      <c r="K97" s="164" t="str">
        <f ca="1">IFERROR(__xludf.DUMMYFUNCTION("IF(F97=G97,D97,GOOGLEFINANCE(CONCATENATE(F97,G97))*D97)"),"71.99")</f>
        <v>71.99</v>
      </c>
      <c r="L97" s="76" t="s">
        <v>171</v>
      </c>
      <c r="M97" s="165">
        <f ca="1">IFERROR(__xludf.DUMMYFUNCTION("VALUE(IF(F97=""USD"",D97,IF(F97=""EUR"",D97/GOOGLEFINANCE(CONCATENATE(N97,P97)),IF(F97=G97,D97/GOOGLEFINANCE(CONCATENATE(N97,L97))))))"),3.947653425)</f>
        <v>3.9476534249999999</v>
      </c>
      <c r="N97" s="52" t="s">
        <v>86</v>
      </c>
      <c r="O97" s="165">
        <f ca="1">IFERROR(__xludf.DUMMYFUNCTION("VALUE(IF(F97=""EUR"",D97,IF(F97=""USD"",GOOGLEFINANCE(CONCATENATE(N97,P97))*D97,IF(F97=G97,D97/GOOGLEFINANCE(CONCATENATE(P97,L97))))))"),4.012344131)</f>
        <v>4.0123441309999999</v>
      </c>
      <c r="P97" s="52" t="s">
        <v>85</v>
      </c>
    </row>
    <row r="98" spans="1:16" ht="13" x14ac:dyDescent="0.15">
      <c r="A98" s="73" t="s">
        <v>60</v>
      </c>
      <c r="B98" s="182" t="s">
        <v>172</v>
      </c>
      <c r="C98" s="182"/>
      <c r="E98" s="52"/>
      <c r="F98" s="76" t="s">
        <v>173</v>
      </c>
      <c r="G98" s="76" t="s">
        <v>173</v>
      </c>
      <c r="H98" s="77"/>
      <c r="I98" s="73" t="s">
        <v>60</v>
      </c>
      <c r="J98" s="182" t="s">
        <v>172</v>
      </c>
      <c r="K98" s="164" t="str">
        <f ca="1">IFERROR(__xludf.DUMMYFUNCTION("IF(F98=G98,D98,GOOGLEFINANCE(CONCATENATE(F98,G98))*D98)"),"")</f>
        <v/>
      </c>
      <c r="L98" s="76" t="s">
        <v>173</v>
      </c>
      <c r="M98" s="165">
        <f ca="1">IFERROR(__xludf.DUMMYFUNCTION("VALUE(IF(F98=""USD"",D98,IF(F98=""EUR"",D98/GOOGLEFINANCE(CONCATENATE(N98,P98)),IF(F98=G98,D98/GOOGLEFINANCE(CONCATENATE(N98,L98))))))"),0)</f>
        <v>0</v>
      </c>
      <c r="N98" s="52" t="s">
        <v>86</v>
      </c>
      <c r="O98" s="165">
        <f ca="1">IFERROR(__xludf.DUMMYFUNCTION("VALUE(IF(F98=""EUR"",D98,IF(F98=""USD"",GOOGLEFINANCE(CONCATENATE(N98,P98))*D98,IF(F98=G98,D98/GOOGLEFINANCE(CONCATENATE(P98,L98))))))"),0)</f>
        <v>0</v>
      </c>
      <c r="P98" s="52" t="s">
        <v>85</v>
      </c>
    </row>
    <row r="99" spans="1:16" ht="13" x14ac:dyDescent="0.15">
      <c r="A99" s="73" t="s">
        <v>33</v>
      </c>
      <c r="B99" s="182" t="s">
        <v>174</v>
      </c>
      <c r="C99" s="182"/>
      <c r="D99" s="131" t="s">
        <v>595</v>
      </c>
      <c r="E99" s="131"/>
      <c r="F99" s="76" t="s">
        <v>85</v>
      </c>
      <c r="G99" s="76" t="s">
        <v>85</v>
      </c>
      <c r="H99" s="77"/>
      <c r="I99" s="73" t="s">
        <v>33</v>
      </c>
      <c r="J99" s="182" t="s">
        <v>174</v>
      </c>
      <c r="K99" s="164" t="str">
        <f ca="1">IFERROR(__xludf.DUMMYFUNCTION("IF(F99=G99,D99,GOOGLEFINANCE(CONCATENATE(F99,G99))*D99)"),"11.99")</f>
        <v>11.99</v>
      </c>
      <c r="L99" s="76" t="s">
        <v>85</v>
      </c>
      <c r="M99" s="165">
        <f ca="1">IFERROR(__xludf.DUMMYFUNCTION("VALUE(IF(F99=""USD"",D99,IF(F99=""EUR"",D99/GOOGLEFINANCE(CONCATENATE(N99,P99)),IF(F99=G99,D99/GOOGLEFINANCE(CONCATENATE(N99,L99))))))"),11.79682696)</f>
        <v>11.796826960000001</v>
      </c>
      <c r="N99" s="52" t="s">
        <v>86</v>
      </c>
      <c r="O99" s="165">
        <f ca="1">IFERROR(__xludf.DUMMYFUNCTION("VALUE(IF(F99=""EUR"",D99,IF(F99=""USD"",GOOGLEFINANCE(CONCATENATE(N99,P99))*D99,IF(F99=G99,D99/GOOGLEFINANCE(CONCATENATE(P99,L99))))))"),11.99)</f>
        <v>11.99</v>
      </c>
      <c r="P99" s="52" t="s">
        <v>85</v>
      </c>
    </row>
    <row r="100" spans="1:16" ht="13" x14ac:dyDescent="0.15">
      <c r="A100" s="86" t="s">
        <v>652</v>
      </c>
      <c r="B100" s="87" t="s">
        <v>364</v>
      </c>
      <c r="C100" s="87"/>
      <c r="D100" s="125"/>
      <c r="E100" s="125"/>
      <c r="F100" s="89" t="s">
        <v>365</v>
      </c>
      <c r="G100" s="89" t="s">
        <v>365</v>
      </c>
      <c r="H100" s="77"/>
      <c r="I100" s="86" t="s">
        <v>652</v>
      </c>
      <c r="J100" s="87" t="s">
        <v>364</v>
      </c>
      <c r="K100" s="164" t="str">
        <f ca="1">IFERROR(__xludf.DUMMYFUNCTION("IF(F100=G100,D100,GOOGLEFINANCE(CONCATENATE(F100,G100))*D100)"),"")</f>
        <v/>
      </c>
      <c r="L100" s="76" t="s">
        <v>365</v>
      </c>
      <c r="M100" s="165">
        <f ca="1">IFERROR(__xludf.DUMMYFUNCTION("VALUE(IF(F100=""USD"",D100,IF(F100=""EUR"",D100/GOOGLEFINANCE(CONCATENATE(N100,P100)),IF(F100=G100,D100/GOOGLEFINANCE(CONCATENATE(N100,L100))))))"),0)</f>
        <v>0</v>
      </c>
      <c r="N100" s="52" t="s">
        <v>86</v>
      </c>
      <c r="O100" s="165">
        <f ca="1">IFERROR(__xludf.DUMMYFUNCTION("VALUE(IF(F100=""EUR"",D100,IF(F100=""USD"",GOOGLEFINANCE(CONCATENATE(N100,P100))*D100,IF(F100=G100,D100/GOOGLEFINANCE(CONCATENATE(P100,L100))))))"),0)</f>
        <v>0</v>
      </c>
      <c r="P100" s="52" t="s">
        <v>85</v>
      </c>
    </row>
    <row r="101" spans="1:16" ht="13" x14ac:dyDescent="0.15">
      <c r="A101" s="73" t="s">
        <v>36</v>
      </c>
      <c r="B101" s="182" t="s">
        <v>175</v>
      </c>
      <c r="C101" s="182"/>
      <c r="D101" s="131" t="s">
        <v>914</v>
      </c>
      <c r="E101" s="131"/>
      <c r="F101" s="76" t="s">
        <v>176</v>
      </c>
      <c r="G101" s="76" t="s">
        <v>176</v>
      </c>
      <c r="H101" s="77"/>
      <c r="I101" s="73" t="s">
        <v>36</v>
      </c>
      <c r="J101" s="182" t="s">
        <v>175</v>
      </c>
      <c r="K101" s="164" t="str">
        <f ca="1">IFERROR(__xludf.DUMMYFUNCTION("IF(F101=G101,D101,GOOGLEFINANCE(CONCATENATE(F101,G101))*D101)"),"69.00")</f>
        <v>69.00</v>
      </c>
      <c r="L101" s="76" t="s">
        <v>176</v>
      </c>
      <c r="M101" s="165">
        <f ca="1">IFERROR(__xludf.DUMMYFUNCTION("VALUE(IF(F101=""USD"",D101,IF(F101=""EUR"",D101/GOOGLEFINANCE(CONCATENATE(N101,P101)),IF(F101=G101,D101/GOOGLEFINANCE(CONCATENATE(N101,L101))))))"),6.134331185)</f>
        <v>6.1343311849999997</v>
      </c>
      <c r="N101" s="52" t="s">
        <v>86</v>
      </c>
      <c r="O101" s="165">
        <f ca="1">IFERROR(__xludf.DUMMYFUNCTION("VALUE(IF(F101=""EUR"",D101,IF(F101=""USD"",GOOGLEFINANCE(CONCATENATE(N101,P101))*D101,IF(F101=G101,D101/GOOGLEFINANCE(CONCATENATE(P101,L101))))))"),6.234661828)</f>
        <v>6.2346618280000001</v>
      </c>
      <c r="P101" s="52" t="s">
        <v>85</v>
      </c>
    </row>
    <row r="102" spans="1:16" ht="13" x14ac:dyDescent="0.15">
      <c r="A102" s="73" t="s">
        <v>25</v>
      </c>
      <c r="B102" s="182" t="s">
        <v>177</v>
      </c>
      <c r="C102" s="182"/>
      <c r="D102" s="131" t="s">
        <v>919</v>
      </c>
      <c r="E102" s="131"/>
      <c r="F102" s="76" t="s">
        <v>178</v>
      </c>
      <c r="G102" s="76" t="s">
        <v>178</v>
      </c>
      <c r="H102" s="77"/>
      <c r="I102" s="73" t="s">
        <v>25</v>
      </c>
      <c r="J102" s="182" t="s">
        <v>177</v>
      </c>
      <c r="K102" s="164" t="str">
        <f ca="1">IFERROR(__xludf.DUMMYFUNCTION("IF(F102=G102,D102,GOOGLEFINANCE(CONCATENATE(F102,G102))*D102)"),"15.90")</f>
        <v>15.90</v>
      </c>
      <c r="L102" s="76" t="s">
        <v>178</v>
      </c>
      <c r="M102" s="165">
        <f ca="1">IFERROR(__xludf.DUMMYFUNCTION("VALUE(IF(F102=""USD"",D102,IF(F102=""EUR"",D102/GOOGLEFINANCE(CONCATENATE(N102,P102)),IF(F102=G102,D102/GOOGLEFINANCE(CONCATENATE(N102,L102))))))"),15.91209319)</f>
        <v>15.91209319</v>
      </c>
      <c r="N102" s="52" t="s">
        <v>86</v>
      </c>
      <c r="O102" s="165">
        <f ca="1">IFERROR(__xludf.DUMMYFUNCTION("VALUE(IF(F102=""EUR"",D102,IF(F102=""USD"",GOOGLEFINANCE(CONCATENATE(N102,P102))*D102,IF(F102=G102,D102/GOOGLEFINANCE(CONCATENATE(P102,L102))))))"),16.16445041)</f>
        <v>16.164450410000001</v>
      </c>
      <c r="P102" s="52" t="s">
        <v>85</v>
      </c>
    </row>
    <row r="103" spans="1:16" ht="13" x14ac:dyDescent="0.15">
      <c r="A103" s="73" t="s">
        <v>735</v>
      </c>
      <c r="B103" s="182" t="s">
        <v>736</v>
      </c>
      <c r="C103" s="182"/>
      <c r="D103" s="131" t="s">
        <v>882</v>
      </c>
      <c r="E103" s="131"/>
      <c r="F103" s="76" t="s">
        <v>470</v>
      </c>
      <c r="G103" s="76" t="s">
        <v>470</v>
      </c>
      <c r="H103" s="77"/>
      <c r="I103" s="73" t="s">
        <v>735</v>
      </c>
      <c r="J103" s="182" t="s">
        <v>736</v>
      </c>
      <c r="K103" s="164" t="str">
        <f ca="1">IFERROR(__xludf.DUMMYFUNCTION("IF(F103=G103,D103,GOOGLEFINANCE(CONCATENATE(F103,G103))*D103)"),"179.00")</f>
        <v>179.00</v>
      </c>
      <c r="L103" s="76" t="s">
        <v>470</v>
      </c>
      <c r="M103" s="165">
        <f ca="1">IFERROR(__xludf.DUMMYFUNCTION("VALUE(IF(F103=""USD"",D103,IF(F103=""EUR"",D103/GOOGLEFINANCE(CONCATENATE(N103,P103)),IF(F103=G103,D103/GOOGLEFINANCE(CONCATENATE(N103,L103))))))"),5.54870148)</f>
        <v>5.5487014800000001</v>
      </c>
      <c r="N103" s="52" t="s">
        <v>86</v>
      </c>
      <c r="O103" s="165">
        <f ca="1">IFERROR(__xludf.DUMMYFUNCTION("VALUE(IF(F103=""EUR"",D103,IF(F103=""USD"",GOOGLEFINANCE(CONCATENATE(N103,P103))*D103,IF(F103=G103,D103/GOOGLEFINANCE(CONCATENATE(P103,L103))))))"),5.640662686)</f>
        <v>5.6406626859999998</v>
      </c>
      <c r="P103" s="52" t="s">
        <v>85</v>
      </c>
    </row>
    <row r="104" spans="1:16" ht="13" x14ac:dyDescent="0.15">
      <c r="A104" s="86" t="s">
        <v>728</v>
      </c>
      <c r="B104" s="87" t="s">
        <v>729</v>
      </c>
      <c r="C104" s="87"/>
      <c r="D104" s="125"/>
      <c r="E104" s="125"/>
      <c r="F104" s="89" t="s">
        <v>459</v>
      </c>
      <c r="G104" s="89" t="s">
        <v>459</v>
      </c>
      <c r="H104" s="77"/>
      <c r="I104" s="86" t="s">
        <v>728</v>
      </c>
      <c r="J104" s="87" t="s">
        <v>729</v>
      </c>
      <c r="K104" s="164" t="str">
        <f ca="1">IFERROR(__xludf.DUMMYFUNCTION("IF(F104=G104,D104,GOOGLEFINANCE(CONCATENATE(F104,G104))*D104)"),"")</f>
        <v/>
      </c>
      <c r="L104" s="76" t="s">
        <v>459</v>
      </c>
      <c r="M104" s="165">
        <f ca="1">IFERROR(__xludf.DUMMYFUNCTION("VALUE(IF(F104=""USD"",D104,IF(F104=""EUR"",D104/GOOGLEFINANCE(CONCATENATE(N104,P104)),IF(F104=G104,D104/GOOGLEFINANCE(CONCATENATE(N104,L104))))))"),0)</f>
        <v>0</v>
      </c>
      <c r="N104" s="52" t="s">
        <v>86</v>
      </c>
      <c r="O104" s="165">
        <f ca="1">IFERROR(__xludf.DUMMYFUNCTION("VALUE(IF(F104=""EUR"",D104,IF(F104=""USD"",GOOGLEFINANCE(CONCATENATE(N104,P104))*D104,IF(F104=G104,D104/GOOGLEFINANCE(CONCATENATE(P104,L104))))))"),0)</f>
        <v>0</v>
      </c>
      <c r="P104" s="52" t="s">
        <v>85</v>
      </c>
    </row>
    <row r="105" spans="1:16" ht="13" x14ac:dyDescent="0.15">
      <c r="A105" s="86" t="s">
        <v>740</v>
      </c>
      <c r="B105" s="87" t="s">
        <v>472</v>
      </c>
      <c r="C105" s="87"/>
      <c r="D105" s="125"/>
      <c r="E105" s="125"/>
      <c r="F105" s="89" t="s">
        <v>473</v>
      </c>
      <c r="G105" s="89" t="s">
        <v>473</v>
      </c>
      <c r="H105" s="77"/>
      <c r="I105" s="86" t="s">
        <v>740</v>
      </c>
      <c r="J105" s="87" t="s">
        <v>472</v>
      </c>
      <c r="K105" s="164" t="str">
        <f ca="1">IFERROR(__xludf.DUMMYFUNCTION("IF(F105=G105,D105,GOOGLEFINANCE(CONCATENATE(F105,G105))*D105)"),"")</f>
        <v/>
      </c>
      <c r="L105" s="76" t="s">
        <v>473</v>
      </c>
      <c r="M105" s="165">
        <f ca="1">IFERROR(__xludf.DUMMYFUNCTION("VALUE(IF(F105=""USD"",D105,IF(F105=""EUR"",D105/GOOGLEFINANCE(CONCATENATE(N105,P105)),IF(F105=G105,D105/GOOGLEFINANCE(CONCATENATE(N105,L105))))))"),0)</f>
        <v>0</v>
      </c>
      <c r="N105" s="52" t="s">
        <v>86</v>
      </c>
      <c r="O105" s="165">
        <f ca="1">IFERROR(__xludf.DUMMYFUNCTION("VALUE(IF(F105=""EUR"",D105,IF(F105=""USD"",GOOGLEFINANCE(CONCATENATE(N105,P105))*D105,IF(F105=G105,D105/GOOGLEFINANCE(CONCATENATE(P105,L105))))))"),0)</f>
        <v>0</v>
      </c>
      <c r="P105" s="52" t="s">
        <v>85</v>
      </c>
    </row>
    <row r="106" spans="1:16" ht="13" x14ac:dyDescent="0.15">
      <c r="A106" s="73" t="s">
        <v>78</v>
      </c>
      <c r="B106" s="182" t="s">
        <v>179</v>
      </c>
      <c r="C106" s="182"/>
      <c r="E106" s="52"/>
      <c r="F106" s="76" t="s">
        <v>180</v>
      </c>
      <c r="G106" s="76" t="s">
        <v>180</v>
      </c>
      <c r="H106" s="77"/>
      <c r="I106" s="73" t="s">
        <v>78</v>
      </c>
      <c r="J106" s="182" t="s">
        <v>179</v>
      </c>
      <c r="K106" s="164" t="str">
        <f ca="1">IFERROR(__xludf.DUMMYFUNCTION("IF(F106=G106,D106,GOOGLEFINANCE(CONCATENATE(F106,G106))*D106)"),"")</f>
        <v/>
      </c>
      <c r="L106" s="76" t="s">
        <v>180</v>
      </c>
      <c r="M106" s="165">
        <f ca="1">IFERROR(__xludf.DUMMYFUNCTION("VALUE(IF(F106=""USD"",D106,IF(F106=""EUR"",D106/GOOGLEFINANCE(CONCATENATE(N106,P106)),IF(F106=G106,D106/GOOGLEFINANCE(CONCATENATE(N106,L106))))))"),0)</f>
        <v>0</v>
      </c>
      <c r="N106" s="52" t="s">
        <v>86</v>
      </c>
      <c r="O106" s="165">
        <f ca="1">IFERROR(__xludf.DUMMYFUNCTION("VALUE(IF(F106=""EUR"",D106,IF(F106=""USD"",GOOGLEFINANCE(CONCATENATE(N106,P106))*D106,IF(F106=G106,D106/GOOGLEFINANCE(CONCATENATE(P106,L106))))))"),0)</f>
        <v>0</v>
      </c>
      <c r="P106" s="52" t="s">
        <v>85</v>
      </c>
    </row>
    <row r="107" spans="1:16" ht="13" x14ac:dyDescent="0.15">
      <c r="A107" s="86" t="s">
        <v>730</v>
      </c>
      <c r="B107" s="87" t="s">
        <v>731</v>
      </c>
      <c r="C107" s="87"/>
      <c r="D107" s="125"/>
      <c r="E107" s="125"/>
      <c r="F107" s="89" t="s">
        <v>465</v>
      </c>
      <c r="G107" s="89" t="s">
        <v>465</v>
      </c>
      <c r="H107" s="77"/>
      <c r="I107" s="86" t="s">
        <v>730</v>
      </c>
      <c r="J107" s="87" t="s">
        <v>731</v>
      </c>
      <c r="K107" s="164" t="str">
        <f ca="1">IFERROR(__xludf.DUMMYFUNCTION("IF(F107=G107,D107,GOOGLEFINANCE(CONCATENATE(F107,G107))*D107)"),"")</f>
        <v/>
      </c>
      <c r="L107" s="76" t="s">
        <v>465</v>
      </c>
      <c r="M107" s="165">
        <f ca="1">IFERROR(__xludf.DUMMYFUNCTION("VALUE(IF(F107=""USD"",D107,IF(F107=""EUR"",D107/GOOGLEFINANCE(CONCATENATE(N107,P107)),IF(F107=G107,D107/GOOGLEFINANCE(CONCATENATE(N107,L107))))))"),0)</f>
        <v>0</v>
      </c>
      <c r="N107" s="52" t="s">
        <v>86</v>
      </c>
      <c r="O107" s="165">
        <f ca="1">IFERROR(__xludf.DUMMYFUNCTION("VALUE(IF(F107=""EUR"",D107,IF(F107=""USD"",GOOGLEFINANCE(CONCATENATE(N107,P107))*D107,IF(F107=G107,D107/GOOGLEFINANCE(CONCATENATE(P107,L107))))))"),0)</f>
        <v>0</v>
      </c>
      <c r="P107" s="52" t="s">
        <v>85</v>
      </c>
    </row>
    <row r="108" spans="1:16" ht="13" x14ac:dyDescent="0.15">
      <c r="A108" s="73" t="s">
        <v>84</v>
      </c>
      <c r="B108" s="182" t="s">
        <v>181</v>
      </c>
      <c r="C108" s="182"/>
      <c r="D108" s="131" t="s">
        <v>533</v>
      </c>
      <c r="E108" s="131"/>
      <c r="F108" s="76" t="s">
        <v>182</v>
      </c>
      <c r="G108" s="76" t="s">
        <v>182</v>
      </c>
      <c r="H108" s="77"/>
      <c r="I108" s="73" t="s">
        <v>84</v>
      </c>
      <c r="J108" s="182" t="s">
        <v>181</v>
      </c>
      <c r="K108" s="164" t="str">
        <f ca="1">IFERROR(__xludf.DUMMYFUNCTION("IF(F108=G108,D108,GOOGLEFINANCE(CONCATENATE(F108,G108))*D108)"),"16.99")</f>
        <v>16.99</v>
      </c>
      <c r="L108" s="76" t="s">
        <v>182</v>
      </c>
      <c r="M108" s="165">
        <f ca="1">IFERROR(__xludf.DUMMYFUNCTION("VALUE(IF(F108=""USD"",D108,IF(F108=""EUR"",D108/GOOGLEFINANCE(CONCATENATE(N108,P108)),IF(F108=G108,D108/GOOGLEFINANCE(CONCATENATE(N108,L108))))))"),0.9131585666)</f>
        <v>0.91315856660000005</v>
      </c>
      <c r="N108" s="52" t="s">
        <v>86</v>
      </c>
      <c r="O108" s="165">
        <f ca="1">IFERROR(__xludf.DUMMYFUNCTION("VALUE(IF(F108=""EUR"",D108,IF(F108=""USD"",GOOGLEFINANCE(CONCATENATE(N108,P108))*D108,IF(F108=G108,D108/GOOGLEFINANCE(CONCATENATE(P108,L108))))))"),0.9281180999)</f>
        <v>0.92811809990000005</v>
      </c>
      <c r="P108" s="52" t="s">
        <v>85</v>
      </c>
    </row>
    <row r="109" spans="1:16" ht="13" x14ac:dyDescent="0.15">
      <c r="A109" s="86" t="s">
        <v>744</v>
      </c>
      <c r="B109" s="87" t="s">
        <v>477</v>
      </c>
      <c r="C109" s="87"/>
      <c r="D109" s="125"/>
      <c r="E109" s="125"/>
      <c r="F109" s="89" t="s">
        <v>478</v>
      </c>
      <c r="G109" s="89" t="s">
        <v>478</v>
      </c>
      <c r="H109" s="77"/>
      <c r="I109" s="86" t="s">
        <v>744</v>
      </c>
      <c r="J109" s="87" t="s">
        <v>477</v>
      </c>
      <c r="K109" s="164" t="str">
        <f ca="1">IFERROR(__xludf.DUMMYFUNCTION("IF(F109=G109,D109,GOOGLEFINANCE(CONCATENATE(F109,G109))*D109)"),"")</f>
        <v/>
      </c>
      <c r="L109" s="76" t="s">
        <v>478</v>
      </c>
      <c r="M109" s="165">
        <f ca="1">IFERROR(__xludf.DUMMYFUNCTION("VALUE(IF(F109=""USD"",D109,IF(F109=""EUR"",D109/GOOGLEFINANCE(CONCATENATE(N109,P109)),IF(F109=G109,D109/GOOGLEFINANCE(CONCATENATE(N109,L109))))))"),0)</f>
        <v>0</v>
      </c>
      <c r="N109" s="52" t="s">
        <v>86</v>
      </c>
      <c r="O109" s="165">
        <f ca="1">IFERROR(__xludf.DUMMYFUNCTION("VALUE(IF(F109=""EUR"",D109,IF(F109=""USD"",GOOGLEFINANCE(CONCATENATE(N109,P109))*D109,IF(F109=G109,D109/GOOGLEFINANCE(CONCATENATE(P109,L109))))))"),0)</f>
        <v>0</v>
      </c>
      <c r="P109" s="52" t="s">
        <v>85</v>
      </c>
    </row>
    <row r="110" spans="1:16" ht="13" x14ac:dyDescent="0.15">
      <c r="A110" s="73" t="s">
        <v>62</v>
      </c>
      <c r="B110" s="182" t="s">
        <v>185</v>
      </c>
      <c r="C110" s="182"/>
      <c r="D110" s="131" t="s">
        <v>886</v>
      </c>
      <c r="E110" s="131"/>
      <c r="F110" s="76" t="s">
        <v>186</v>
      </c>
      <c r="G110" s="76" t="s">
        <v>186</v>
      </c>
      <c r="H110" s="77"/>
      <c r="I110" s="73" t="s">
        <v>62</v>
      </c>
      <c r="J110" s="182" t="s">
        <v>185</v>
      </c>
      <c r="K110" s="164" t="str">
        <f ca="1">IFERROR(__xludf.DUMMYFUNCTION("IF(F110=G110,D110,GOOGLEFINANCE(CONCATENATE(F110,G110))*D110)"),"99.00")</f>
        <v>99.00</v>
      </c>
      <c r="L110" s="76" t="s">
        <v>186</v>
      </c>
      <c r="M110" s="165">
        <f ca="1">IFERROR(__xludf.DUMMYFUNCTION("VALUE(IF(F110=""USD"",D110,IF(F110=""EUR"",D110/GOOGLEFINANCE(CONCATENATE(N110,P110)),IF(F110=G110,D110/GOOGLEFINANCE(CONCATENATE(N110,L110))))))"),2.706699574)</f>
        <v>2.7066995739999999</v>
      </c>
      <c r="N110" s="52" t="s">
        <v>86</v>
      </c>
      <c r="O110" s="165">
        <f ca="1">IFERROR(__xludf.DUMMYFUNCTION("VALUE(IF(F110=""EUR"",D110,IF(F110=""USD"",GOOGLEFINANCE(CONCATENATE(N110,P110))*D110,IF(F110=G110,D110/GOOGLEFINANCE(CONCATENATE(P110,L110))))))"),2.750878686)</f>
        <v>2.7508786860000001</v>
      </c>
      <c r="P110" s="52" t="s">
        <v>85</v>
      </c>
    </row>
    <row r="111" spans="1:16" ht="13" x14ac:dyDescent="0.15">
      <c r="A111" s="73" t="s">
        <v>69</v>
      </c>
      <c r="B111" s="182" t="s">
        <v>516</v>
      </c>
      <c r="C111" s="182"/>
      <c r="E111" s="52"/>
      <c r="F111" s="76" t="s">
        <v>184</v>
      </c>
      <c r="G111" s="76" t="s">
        <v>184</v>
      </c>
      <c r="H111" s="77"/>
      <c r="I111" s="73" t="s">
        <v>69</v>
      </c>
      <c r="J111" s="182" t="s">
        <v>516</v>
      </c>
      <c r="K111" s="164" t="str">
        <f ca="1">IFERROR(__xludf.DUMMYFUNCTION("IF(F111=G111,D111,GOOGLEFINANCE(CONCATENATE(F111,G111))*D111)"),"")</f>
        <v/>
      </c>
      <c r="L111" s="76" t="s">
        <v>184</v>
      </c>
      <c r="M111" s="165">
        <f ca="1">IFERROR(__xludf.DUMMYFUNCTION("VALUE(IF(F111=""USD"",D111,IF(F111=""EUR"",D111/GOOGLEFINANCE(CONCATENATE(N111,P111)),IF(F111=G111,D111/GOOGLEFINANCE(CONCATENATE(N111,L111))))))"),0)</f>
        <v>0</v>
      </c>
      <c r="N111" s="52" t="s">
        <v>86</v>
      </c>
      <c r="O111" s="165">
        <f ca="1">IFERROR(__xludf.DUMMYFUNCTION("VALUE(IF(F111=""EUR"",D111,IF(F111=""USD"",GOOGLEFINANCE(CONCATENATE(N111,P111))*D111,IF(F111=G111,D111/GOOGLEFINANCE(CONCATENATE(P111,L111))))))"),0)</f>
        <v>0</v>
      </c>
      <c r="P111" s="52" t="s">
        <v>85</v>
      </c>
    </row>
    <row r="112" spans="1:16" ht="13" x14ac:dyDescent="0.15">
      <c r="A112" s="73" t="s">
        <v>27</v>
      </c>
      <c r="B112" s="182" t="s">
        <v>187</v>
      </c>
      <c r="C112" s="182"/>
      <c r="D112" s="131" t="s">
        <v>595</v>
      </c>
      <c r="E112" s="131"/>
      <c r="F112" s="76" t="s">
        <v>188</v>
      </c>
      <c r="G112" s="76" t="s">
        <v>188</v>
      </c>
      <c r="H112" s="77"/>
      <c r="I112" s="73" t="s">
        <v>27</v>
      </c>
      <c r="J112" s="182" t="s">
        <v>187</v>
      </c>
      <c r="K112" s="164" t="str">
        <f ca="1">IFERROR(__xludf.DUMMYFUNCTION("IF(F112=G112,D112,GOOGLEFINANCE(CONCATENATE(F112,G112))*D112)"),"11.99")</f>
        <v>11.99</v>
      </c>
      <c r="L112" s="76" t="s">
        <v>188</v>
      </c>
      <c r="M112" s="165">
        <f ca="1">IFERROR(__xludf.DUMMYFUNCTION("VALUE(IF(F112=""USD"",D112,IF(F112=""EUR"",D112/GOOGLEFINANCE(CONCATENATE(N112,P112)),IF(F112=G112,D112/GOOGLEFINANCE(CONCATENATE(N112,L112))))))"),13.57986239)</f>
        <v>13.579862390000001</v>
      </c>
      <c r="N112" s="52" t="s">
        <v>86</v>
      </c>
      <c r="O112" s="165">
        <f ca="1">IFERROR(__xludf.DUMMYFUNCTION("VALUE(IF(F112=""EUR"",D112,IF(F112=""USD"",GOOGLEFINANCE(CONCATENATE(N112,P112))*D112,IF(F112=G112,D112/GOOGLEFINANCE(CONCATENATE(P112,L112))))))"),13.79881807)</f>
        <v>13.798818069999999</v>
      </c>
      <c r="P112" s="52" t="s">
        <v>85</v>
      </c>
    </row>
    <row r="113" spans="1:16" ht="13" x14ac:dyDescent="0.15">
      <c r="A113" s="73" t="s">
        <v>26</v>
      </c>
      <c r="B113" s="182" t="s">
        <v>189</v>
      </c>
      <c r="C113" s="182"/>
      <c r="D113" s="131" t="s">
        <v>595</v>
      </c>
      <c r="E113" s="131"/>
      <c r="F113" s="76" t="s">
        <v>86</v>
      </c>
      <c r="G113" s="76" t="s">
        <v>86</v>
      </c>
      <c r="H113" s="77"/>
      <c r="I113" s="73" t="s">
        <v>26</v>
      </c>
      <c r="J113" s="182" t="s">
        <v>189</v>
      </c>
      <c r="K113" s="164" t="str">
        <f ca="1">IFERROR(__xludf.DUMMYFUNCTION("IF(F113=G113,D113,GOOGLEFINANCE(CONCATENATE(F113,G113))*D113)"),"11.99")</f>
        <v>11.99</v>
      </c>
      <c r="L113" s="76" t="s">
        <v>86</v>
      </c>
      <c r="M113" s="165">
        <f ca="1">IFERROR(__xludf.DUMMYFUNCTION("VALUE(IF(F113=""USD"",D113,IF(F113=""EUR"",D113/GOOGLEFINANCE(CONCATENATE(N113,P113)),IF(F113=G113,D113/GOOGLEFINANCE(CONCATENATE(N113,L113))))))"),11.99)</f>
        <v>11.99</v>
      </c>
      <c r="N113" s="52" t="s">
        <v>86</v>
      </c>
      <c r="O113" s="165">
        <f ca="1">IFERROR(__xludf.DUMMYFUNCTION("VALUE(IF(F113=""EUR"",D113,IF(F113=""USD"",GOOGLEFINANCE(CONCATENATE(N113,P113))*D113,IF(F113=G113,D113/GOOGLEFINANCE(CONCATENATE(P113,L113))))))"),12.18633625)</f>
        <v>12.18633625</v>
      </c>
      <c r="P113" s="52" t="s">
        <v>85</v>
      </c>
    </row>
    <row r="114" spans="1:16" ht="13" x14ac:dyDescent="0.15">
      <c r="A114" s="73" t="s">
        <v>747</v>
      </c>
      <c r="B114" s="182" t="s">
        <v>748</v>
      </c>
      <c r="C114" s="182"/>
      <c r="E114" s="52"/>
      <c r="F114" s="76" t="s">
        <v>485</v>
      </c>
      <c r="G114" s="76" t="s">
        <v>485</v>
      </c>
      <c r="H114" s="77"/>
      <c r="I114" s="73" t="s">
        <v>747</v>
      </c>
      <c r="J114" s="182" t="s">
        <v>748</v>
      </c>
      <c r="K114" s="164" t="str">
        <f ca="1">IFERROR(__xludf.DUMMYFUNCTION("IF(F114=G114,D114,GOOGLEFINANCE(CONCATENATE(F114,G114))*D114)"),"")</f>
        <v/>
      </c>
      <c r="L114" s="76" t="s">
        <v>485</v>
      </c>
      <c r="M114" s="165">
        <f ca="1">IFERROR(__xludf.DUMMYFUNCTION("VALUE(IF(F114=""USD"",D114,IF(F114=""EUR"",D114/GOOGLEFINANCE(CONCATENATE(N114,P114)),IF(F114=G114,D114/GOOGLEFINANCE(CONCATENATE(N114,L114))))))"),0)</f>
        <v>0</v>
      </c>
      <c r="N114" s="52" t="s">
        <v>86</v>
      </c>
      <c r="O114" s="165">
        <f ca="1">IFERROR(__xludf.DUMMYFUNCTION("VALUE(IF(F114=""EUR"",D114,IF(F114=""USD"",GOOGLEFINANCE(CONCATENATE(N114,P114))*D114,IF(F114=G114,D114/GOOGLEFINANCE(CONCATENATE(P114,L114))))))"),0)</f>
        <v>0</v>
      </c>
      <c r="P114" s="52" t="s">
        <v>85</v>
      </c>
    </row>
    <row r="115" spans="1:16" ht="13" x14ac:dyDescent="0.15">
      <c r="A115" s="86" t="s">
        <v>749</v>
      </c>
      <c r="B115" s="87" t="s">
        <v>487</v>
      </c>
      <c r="C115" s="87"/>
      <c r="D115" s="125"/>
      <c r="E115" s="125"/>
      <c r="F115" s="89" t="s">
        <v>488</v>
      </c>
      <c r="G115" s="89" t="s">
        <v>488</v>
      </c>
      <c r="H115" s="77"/>
      <c r="I115" s="86" t="s">
        <v>749</v>
      </c>
      <c r="J115" s="87" t="s">
        <v>487</v>
      </c>
      <c r="K115" s="164" t="str">
        <f ca="1">IFERROR(__xludf.DUMMYFUNCTION("IF(F115=G115,D115,GOOGLEFINANCE(CONCATENATE(F115,G115))*D115)"),"")</f>
        <v/>
      </c>
      <c r="L115" s="76" t="s">
        <v>488</v>
      </c>
      <c r="M115" s="165" t="str">
        <f ca="1">IFERROR(__xludf.DUMMYFUNCTION("VALUE(IF(F115=""USD"",D115,IF(F115=""EUR"",D115/GOOGLEFINANCE(CONCATENATE(N115,P115)),IF(F115=G115,D115/GOOGLEFINANCE(CONCATENATE(N115,L115))))))"),"#N/A")</f>
        <v>#N/A</v>
      </c>
      <c r="N115" s="52" t="s">
        <v>86</v>
      </c>
      <c r="O115" s="165" t="str">
        <f ca="1">IFERROR(__xludf.DUMMYFUNCTION("VALUE(IF(F115=""EUR"",D115,IF(F115=""USD"",GOOGLEFINANCE(CONCATENATE(N115,P115))*D115,IF(F115=G115,D115/GOOGLEFINANCE(CONCATENATE(P115,L115))))))"),"#N/A")</f>
        <v>#N/A</v>
      </c>
      <c r="P115" s="52" t="s">
        <v>85</v>
      </c>
    </row>
    <row r="116" spans="1:16" ht="13" x14ac:dyDescent="0.15">
      <c r="A116" s="73" t="s">
        <v>750</v>
      </c>
      <c r="B116" s="182" t="s">
        <v>751</v>
      </c>
      <c r="C116" s="182"/>
      <c r="E116" s="52"/>
      <c r="F116" s="76" t="s">
        <v>897</v>
      </c>
      <c r="G116" s="76" t="s">
        <v>897</v>
      </c>
      <c r="H116" s="77"/>
      <c r="I116" s="73" t="s">
        <v>750</v>
      </c>
      <c r="J116" s="182" t="s">
        <v>751</v>
      </c>
      <c r="K116" s="164" t="str">
        <f ca="1">IFERROR(__xludf.DUMMYFUNCTION("IF(F116=G116,D116,GOOGLEFINANCE(CONCATENATE(F116,G116))*D116)"),"")</f>
        <v/>
      </c>
      <c r="L116" s="76" t="s">
        <v>897</v>
      </c>
      <c r="M116" s="165" t="str">
        <f ca="1">IFERROR(__xludf.DUMMYFUNCTION("IFERROR(VALUE(IF(F116=""USD"",D116,IF(F116=""EUR"",D116/GOOGLEFINANCE(CONCATENATE(N116,P116)),IF(F116=G116,D116/GOOGLEFINANCE(CONCATENATE(N116,L116)))))),"""")"),"")</f>
        <v/>
      </c>
      <c r="N116" s="52" t="s">
        <v>86</v>
      </c>
      <c r="O116" s="165" t="str">
        <f ca="1">IFERROR(__xludf.DUMMYFUNCTION("IFERROR(VALUE(IF(F116=""EUR"",D116,IF(F116=""USD"",GOOGLEFINANCE(CONCATENATE(N116,P116))*D116,IF(F116=G116,D116/GOOGLEFINANCE(CONCATENATE(P116,L116)))))),"""")"),"")</f>
        <v/>
      </c>
      <c r="P116" s="52" t="s">
        <v>85</v>
      </c>
    </row>
    <row r="117" spans="1:16" ht="13" x14ac:dyDescent="0.15">
      <c r="A117" s="86" t="s">
        <v>79</v>
      </c>
      <c r="B117" s="87" t="s">
        <v>190</v>
      </c>
      <c r="C117" s="87"/>
      <c r="D117" s="125"/>
      <c r="E117" s="125"/>
      <c r="F117" s="89" t="s">
        <v>191</v>
      </c>
      <c r="G117" s="89" t="s">
        <v>191</v>
      </c>
      <c r="H117" s="77"/>
      <c r="I117" s="86" t="s">
        <v>79</v>
      </c>
      <c r="J117" s="87" t="s">
        <v>190</v>
      </c>
      <c r="K117" s="164" t="str">
        <f ca="1">IFERROR(__xludf.DUMMYFUNCTION("IF(F117=G117,D117,GOOGLEFINANCE(CONCATENATE(F117,G117))*D117)"),"")</f>
        <v/>
      </c>
      <c r="L117" s="76" t="s">
        <v>191</v>
      </c>
      <c r="M117" s="165">
        <f ca="1">IFERROR(__xludf.DUMMYFUNCTION("VALUE(IF(F117=""USD"",D117,IF(F117=""EUR"",D117/GOOGLEFINANCE(CONCATENATE(N117,P117)),IF(F117=G117,D117/GOOGLEFINANCE(CONCATENATE(N117,L117))))))"),0)</f>
        <v>0</v>
      </c>
      <c r="N117" s="52" t="s">
        <v>86</v>
      </c>
      <c r="O117" s="165">
        <f ca="1">IFERROR(__xludf.DUMMYFUNCTION("VALUE(IF(F117=""EUR"",D117,IF(F117=""USD"",GOOGLEFINANCE(CONCATENATE(N117,P117))*D117,IF(F117=G117,D117/GOOGLEFINANCE(CONCATENATE(P117,L117))))))"),0)</f>
        <v>0</v>
      </c>
      <c r="P117" s="52" t="s">
        <v>85</v>
      </c>
    </row>
    <row r="118" spans="1:16" ht="13" x14ac:dyDescent="0.15">
      <c r="A118" s="86" t="s">
        <v>758</v>
      </c>
      <c r="B118" s="87" t="s">
        <v>497</v>
      </c>
      <c r="C118" s="87"/>
      <c r="D118" s="125"/>
      <c r="E118" s="125"/>
      <c r="F118" s="89" t="s">
        <v>498</v>
      </c>
      <c r="G118" s="89" t="s">
        <v>498</v>
      </c>
      <c r="H118" s="77"/>
      <c r="I118" s="86" t="s">
        <v>758</v>
      </c>
      <c r="J118" s="87" t="s">
        <v>497</v>
      </c>
      <c r="K118" s="164" t="str">
        <f ca="1">IFERROR(__xludf.DUMMYFUNCTION("IF(F118=G118,D118,GOOGLEFINANCE(CONCATENATE(F118,G118))*D118)"),"")</f>
        <v/>
      </c>
      <c r="L118" s="76" t="s">
        <v>498</v>
      </c>
      <c r="M118" s="165">
        <f ca="1">IFERROR(__xludf.DUMMYFUNCTION("VALUE(IF(F118=""USD"",D118,IF(F118=""EUR"",D118/GOOGLEFINANCE(CONCATENATE(N118,P118)),IF(F118=G118,D118/GOOGLEFINANCE(CONCATENATE(N118,L118))))))"),0)</f>
        <v>0</v>
      </c>
      <c r="N118" s="52" t="s">
        <v>86</v>
      </c>
      <c r="O118" s="165">
        <f ca="1">IFERROR(__xludf.DUMMYFUNCTION("VALUE(IF(F118=""EUR"",D118,IF(F118=""USD"",GOOGLEFINANCE(CONCATENATE(N118,P118))*D118,IF(F118=G118,D118/GOOGLEFINANCE(CONCATENATE(P118,L118))))))"),0)</f>
        <v>0</v>
      </c>
      <c r="P118" s="52" t="s">
        <v>85</v>
      </c>
    </row>
    <row r="119" spans="1:16" ht="13" x14ac:dyDescent="0.15">
      <c r="H119" s="77"/>
      <c r="M119" s="165"/>
      <c r="O119" s="165"/>
    </row>
    <row r="120" spans="1:16" ht="13" x14ac:dyDescent="0.15">
      <c r="H120" s="77"/>
      <c r="M120" s="165"/>
      <c r="O120" s="165"/>
    </row>
    <row r="121" spans="1:16" ht="13" x14ac:dyDescent="0.15">
      <c r="H121" s="77"/>
      <c r="M121" s="165"/>
      <c r="O121" s="165"/>
    </row>
    <row r="122" spans="1:16" ht="13" x14ac:dyDescent="0.15">
      <c r="H122" s="77"/>
      <c r="M122" s="165"/>
      <c r="O122" s="165"/>
    </row>
    <row r="123" spans="1:16" ht="13" x14ac:dyDescent="0.15">
      <c r="H123" s="77"/>
      <c r="M123" s="165"/>
      <c r="O123" s="165"/>
    </row>
    <row r="124" spans="1:16" ht="13" x14ac:dyDescent="0.15">
      <c r="H124" s="77"/>
      <c r="M124" s="165"/>
      <c r="O124" s="165"/>
    </row>
    <row r="125" spans="1:16" ht="13" x14ac:dyDescent="0.15">
      <c r="H125" s="77"/>
      <c r="M125" s="165"/>
      <c r="O125" s="165"/>
    </row>
    <row r="126" spans="1:16" ht="13" x14ac:dyDescent="0.15">
      <c r="H126" s="77"/>
      <c r="M126" s="165"/>
      <c r="O126" s="165"/>
    </row>
    <row r="127" spans="1:16" ht="13" x14ac:dyDescent="0.15">
      <c r="H127" s="77"/>
      <c r="M127" s="165"/>
      <c r="O127" s="165"/>
    </row>
    <row r="128" spans="1:16" ht="13" x14ac:dyDescent="0.15">
      <c r="H128" s="77"/>
      <c r="M128" s="165"/>
      <c r="O128" s="165"/>
    </row>
    <row r="129" spans="8:15" ht="13" x14ac:dyDescent="0.15">
      <c r="H129" s="77"/>
      <c r="M129" s="165"/>
      <c r="O129" s="165"/>
    </row>
    <row r="130" spans="8:15" ht="13" x14ac:dyDescent="0.15">
      <c r="H130" s="77"/>
      <c r="M130" s="165"/>
      <c r="O130" s="165"/>
    </row>
    <row r="131" spans="8:15" ht="13" x14ac:dyDescent="0.15">
      <c r="H131" s="77"/>
      <c r="M131" s="165"/>
      <c r="O131" s="165"/>
    </row>
    <row r="132" spans="8:15" ht="13" x14ac:dyDescent="0.15">
      <c r="H132" s="77"/>
      <c r="M132" s="165"/>
      <c r="O132" s="165"/>
    </row>
    <row r="133" spans="8:15" ht="13" x14ac:dyDescent="0.15">
      <c r="H133" s="77"/>
      <c r="M133" s="165"/>
      <c r="O133" s="165"/>
    </row>
    <row r="134" spans="8:15" ht="13" x14ac:dyDescent="0.15">
      <c r="H134" s="77"/>
      <c r="M134" s="165"/>
      <c r="O134" s="165"/>
    </row>
    <row r="135" spans="8:15" ht="13" x14ac:dyDescent="0.15">
      <c r="H135" s="77"/>
      <c r="M135" s="165"/>
      <c r="O135" s="165"/>
    </row>
    <row r="136" spans="8:15" ht="13" x14ac:dyDescent="0.15">
      <c r="H136" s="77"/>
      <c r="M136" s="165"/>
      <c r="O136" s="165"/>
    </row>
    <row r="137" spans="8:15" ht="13" x14ac:dyDescent="0.15">
      <c r="H137" s="77"/>
      <c r="M137" s="165"/>
      <c r="O137" s="165"/>
    </row>
    <row r="138" spans="8:15" ht="13" x14ac:dyDescent="0.15">
      <c r="H138" s="77"/>
      <c r="M138" s="165"/>
      <c r="O138" s="165"/>
    </row>
    <row r="139" spans="8:15" ht="13" x14ac:dyDescent="0.15">
      <c r="H139" s="77"/>
      <c r="M139" s="165"/>
      <c r="O139" s="165"/>
    </row>
    <row r="140" spans="8:15" ht="13" x14ac:dyDescent="0.15">
      <c r="H140" s="77"/>
      <c r="M140" s="165"/>
      <c r="O140" s="165"/>
    </row>
    <row r="141" spans="8:15" ht="13" x14ac:dyDescent="0.15">
      <c r="H141" s="77"/>
      <c r="M141" s="165"/>
      <c r="O141" s="165"/>
    </row>
    <row r="142" spans="8:15" ht="13" x14ac:dyDescent="0.15">
      <c r="H142" s="77"/>
      <c r="M142" s="165"/>
      <c r="O142" s="165"/>
    </row>
    <row r="143" spans="8:15" ht="13" x14ac:dyDescent="0.15">
      <c r="H143" s="77"/>
      <c r="M143" s="165"/>
      <c r="O143" s="165"/>
    </row>
    <row r="144" spans="8:15" ht="13" x14ac:dyDescent="0.15">
      <c r="H144" s="77"/>
      <c r="M144" s="165"/>
      <c r="O144" s="165"/>
    </row>
    <row r="145" spans="8:15" ht="13" x14ac:dyDescent="0.15">
      <c r="H145" s="77"/>
      <c r="M145" s="165"/>
      <c r="O145" s="165"/>
    </row>
    <row r="146" spans="8:15" ht="13" x14ac:dyDescent="0.15">
      <c r="H146" s="77"/>
      <c r="M146" s="165"/>
      <c r="O146" s="165"/>
    </row>
    <row r="147" spans="8:15" ht="13" x14ac:dyDescent="0.15">
      <c r="H147" s="77"/>
      <c r="M147" s="165"/>
      <c r="O147" s="165"/>
    </row>
    <row r="148" spans="8:15" ht="13" x14ac:dyDescent="0.15">
      <c r="H148" s="77"/>
      <c r="M148" s="165"/>
      <c r="O148" s="165"/>
    </row>
    <row r="149" spans="8:15" ht="13" x14ac:dyDescent="0.15">
      <c r="H149" s="77"/>
      <c r="M149" s="165"/>
      <c r="O149" s="165"/>
    </row>
    <row r="150" spans="8:15" ht="13" x14ac:dyDescent="0.15">
      <c r="H150" s="77"/>
      <c r="M150" s="165"/>
      <c r="O150" s="165"/>
    </row>
    <row r="151" spans="8:15" ht="13" x14ac:dyDescent="0.15">
      <c r="H151" s="77"/>
      <c r="M151" s="165"/>
      <c r="O151" s="165"/>
    </row>
    <row r="152" spans="8:15" ht="13" x14ac:dyDescent="0.15">
      <c r="H152" s="77"/>
      <c r="M152" s="165"/>
      <c r="O152" s="165"/>
    </row>
    <row r="153" spans="8:15" ht="13" x14ac:dyDescent="0.15">
      <c r="H153" s="77"/>
      <c r="M153" s="165"/>
      <c r="O153" s="165"/>
    </row>
    <row r="154" spans="8:15" ht="13" x14ac:dyDescent="0.15">
      <c r="H154" s="77"/>
      <c r="M154" s="165"/>
      <c r="O154" s="165"/>
    </row>
    <row r="155" spans="8:15" ht="13" x14ac:dyDescent="0.15">
      <c r="H155" s="77"/>
      <c r="M155" s="165"/>
      <c r="O155" s="165"/>
    </row>
    <row r="156" spans="8:15" ht="13" x14ac:dyDescent="0.15">
      <c r="H156" s="77"/>
      <c r="M156" s="165"/>
      <c r="O156" s="165"/>
    </row>
    <row r="157" spans="8:15" ht="13" x14ac:dyDescent="0.15">
      <c r="H157" s="77"/>
      <c r="M157" s="165"/>
      <c r="O157" s="165"/>
    </row>
    <row r="158" spans="8:15" ht="13" x14ac:dyDescent="0.15">
      <c r="H158" s="77"/>
      <c r="M158" s="165"/>
      <c r="O158" s="165"/>
    </row>
    <row r="159" spans="8:15" ht="13" x14ac:dyDescent="0.15">
      <c r="H159" s="77"/>
      <c r="M159" s="165"/>
      <c r="O159" s="165"/>
    </row>
    <row r="160" spans="8:15" ht="13" x14ac:dyDescent="0.15">
      <c r="H160" s="77"/>
      <c r="M160" s="165"/>
      <c r="O160" s="165"/>
    </row>
    <row r="161" spans="8:15" ht="13" x14ac:dyDescent="0.15">
      <c r="H161" s="77"/>
      <c r="M161" s="165"/>
      <c r="O161" s="165"/>
    </row>
    <row r="162" spans="8:15" ht="13" x14ac:dyDescent="0.15">
      <c r="H162" s="77"/>
      <c r="M162" s="165"/>
      <c r="O162" s="165"/>
    </row>
    <row r="163" spans="8:15" ht="13" x14ac:dyDescent="0.15">
      <c r="H163" s="77"/>
      <c r="M163" s="165"/>
      <c r="O163" s="165"/>
    </row>
    <row r="164" spans="8:15" ht="13" x14ac:dyDescent="0.15">
      <c r="H164" s="77"/>
      <c r="M164" s="165"/>
      <c r="O164" s="165"/>
    </row>
    <row r="165" spans="8:15" ht="13" x14ac:dyDescent="0.15">
      <c r="H165" s="77"/>
      <c r="M165" s="165"/>
      <c r="O165" s="165"/>
    </row>
    <row r="166" spans="8:15" ht="13" x14ac:dyDescent="0.15">
      <c r="H166" s="77"/>
      <c r="M166" s="165"/>
      <c r="O166" s="165"/>
    </row>
    <row r="167" spans="8:15" ht="13" x14ac:dyDescent="0.15">
      <c r="H167" s="77"/>
      <c r="M167" s="165"/>
      <c r="O167" s="165"/>
    </row>
    <row r="168" spans="8:15" ht="13" x14ac:dyDescent="0.15">
      <c r="H168" s="77"/>
      <c r="M168" s="165"/>
      <c r="O168" s="165"/>
    </row>
    <row r="169" spans="8:15" ht="13" x14ac:dyDescent="0.15">
      <c r="H169" s="77"/>
      <c r="M169" s="165"/>
      <c r="O169" s="165"/>
    </row>
    <row r="170" spans="8:15" ht="13" x14ac:dyDescent="0.15">
      <c r="H170" s="77"/>
      <c r="M170" s="165"/>
      <c r="O170" s="165"/>
    </row>
    <row r="171" spans="8:15" ht="13" x14ac:dyDescent="0.15">
      <c r="H171" s="77"/>
      <c r="M171" s="165"/>
      <c r="O171" s="165"/>
    </row>
    <row r="172" spans="8:15" ht="13" x14ac:dyDescent="0.15">
      <c r="H172" s="77"/>
      <c r="M172" s="165"/>
      <c r="O172" s="165"/>
    </row>
    <row r="173" spans="8:15" ht="13" x14ac:dyDescent="0.15">
      <c r="H173" s="77"/>
      <c r="M173" s="165"/>
      <c r="O173" s="165"/>
    </row>
    <row r="174" spans="8:15" ht="13" x14ac:dyDescent="0.15">
      <c r="H174" s="77"/>
      <c r="M174" s="165"/>
      <c r="O174" s="165"/>
    </row>
    <row r="175" spans="8:15" ht="13" x14ac:dyDescent="0.15">
      <c r="H175" s="77"/>
      <c r="M175" s="165"/>
      <c r="O175" s="165"/>
    </row>
    <row r="176" spans="8:15" ht="13" x14ac:dyDescent="0.15">
      <c r="H176" s="77"/>
      <c r="M176" s="165"/>
      <c r="O176" s="165"/>
    </row>
    <row r="177" spans="8:15" ht="13" x14ac:dyDescent="0.15">
      <c r="H177" s="77"/>
      <c r="M177" s="165"/>
      <c r="O177" s="165"/>
    </row>
    <row r="178" spans="8:15" ht="13" x14ac:dyDescent="0.15">
      <c r="H178" s="77"/>
      <c r="M178" s="165"/>
      <c r="O178" s="165"/>
    </row>
    <row r="179" spans="8:15" ht="13" x14ac:dyDescent="0.15">
      <c r="H179" s="77"/>
      <c r="M179" s="165"/>
      <c r="O179" s="165"/>
    </row>
    <row r="180" spans="8:15" ht="13" x14ac:dyDescent="0.15">
      <c r="H180" s="77"/>
      <c r="M180" s="165"/>
      <c r="O180" s="165"/>
    </row>
    <row r="181" spans="8:15" ht="13" x14ac:dyDescent="0.15">
      <c r="H181" s="77"/>
      <c r="M181" s="165"/>
      <c r="O181" s="165"/>
    </row>
    <row r="182" spans="8:15" ht="13" x14ac:dyDescent="0.15">
      <c r="H182" s="77"/>
      <c r="M182" s="165"/>
      <c r="O182" s="165"/>
    </row>
    <row r="183" spans="8:15" ht="13" x14ac:dyDescent="0.15">
      <c r="H183" s="77"/>
      <c r="M183" s="165"/>
      <c r="O183" s="165"/>
    </row>
    <row r="184" spans="8:15" ht="13" x14ac:dyDescent="0.15">
      <c r="H184" s="77"/>
      <c r="M184" s="165"/>
      <c r="O184" s="165"/>
    </row>
    <row r="185" spans="8:15" ht="13" x14ac:dyDescent="0.15">
      <c r="H185" s="77"/>
      <c r="M185" s="165"/>
      <c r="O185" s="165"/>
    </row>
    <row r="186" spans="8:15" ht="13" x14ac:dyDescent="0.15">
      <c r="H186" s="77"/>
      <c r="M186" s="165"/>
      <c r="O186" s="165"/>
    </row>
    <row r="187" spans="8:15" ht="13" x14ac:dyDescent="0.15">
      <c r="H187" s="77"/>
      <c r="M187" s="165"/>
      <c r="O187" s="165"/>
    </row>
    <row r="188" spans="8:15" ht="13" x14ac:dyDescent="0.15">
      <c r="H188" s="77"/>
      <c r="M188" s="165"/>
      <c r="O188" s="165"/>
    </row>
    <row r="189" spans="8:15" ht="13" x14ac:dyDescent="0.15">
      <c r="H189" s="77"/>
      <c r="M189" s="165"/>
      <c r="O189" s="165"/>
    </row>
    <row r="190" spans="8:15" ht="13" x14ac:dyDescent="0.15">
      <c r="H190" s="77"/>
      <c r="M190" s="165"/>
      <c r="O190" s="165"/>
    </row>
    <row r="191" spans="8:15" ht="13" x14ac:dyDescent="0.15">
      <c r="H191" s="77"/>
      <c r="M191" s="165"/>
      <c r="O191" s="165"/>
    </row>
    <row r="192" spans="8:15" ht="13" x14ac:dyDescent="0.15">
      <c r="H192" s="77"/>
      <c r="M192" s="165"/>
      <c r="O192" s="165"/>
    </row>
    <row r="193" spans="8:15" ht="13" x14ac:dyDescent="0.15">
      <c r="H193" s="77"/>
      <c r="M193" s="165"/>
      <c r="O193" s="165"/>
    </row>
    <row r="194" spans="8:15" ht="13" x14ac:dyDescent="0.15">
      <c r="H194" s="77"/>
      <c r="M194" s="165"/>
      <c r="O194" s="165"/>
    </row>
    <row r="195" spans="8:15" ht="13" x14ac:dyDescent="0.15">
      <c r="H195" s="77"/>
      <c r="M195" s="165"/>
      <c r="O195" s="165"/>
    </row>
    <row r="196" spans="8:15" ht="13" x14ac:dyDescent="0.15">
      <c r="H196" s="77"/>
      <c r="M196" s="165"/>
      <c r="O196" s="165"/>
    </row>
    <row r="197" spans="8:15" ht="13" x14ac:dyDescent="0.15">
      <c r="H197" s="77"/>
      <c r="M197" s="165"/>
      <c r="O197" s="165"/>
    </row>
    <row r="198" spans="8:15" ht="13" x14ac:dyDescent="0.15">
      <c r="H198" s="77"/>
      <c r="M198" s="165"/>
      <c r="O198" s="165"/>
    </row>
    <row r="199" spans="8:15" ht="13" x14ac:dyDescent="0.15">
      <c r="H199" s="77"/>
      <c r="M199" s="165"/>
      <c r="O199" s="165"/>
    </row>
    <row r="200" spans="8:15" ht="13" x14ac:dyDescent="0.15">
      <c r="H200" s="77"/>
      <c r="M200" s="165"/>
      <c r="O200" s="165"/>
    </row>
    <row r="201" spans="8:15" ht="13" x14ac:dyDescent="0.15">
      <c r="H201" s="77"/>
      <c r="M201" s="165"/>
      <c r="O201" s="165"/>
    </row>
    <row r="202" spans="8:15" ht="13" x14ac:dyDescent="0.15">
      <c r="H202" s="77"/>
      <c r="M202" s="165"/>
      <c r="O202" s="165"/>
    </row>
    <row r="203" spans="8:15" ht="13" x14ac:dyDescent="0.15">
      <c r="H203" s="77"/>
      <c r="M203" s="165"/>
      <c r="O203" s="165"/>
    </row>
    <row r="204" spans="8:15" ht="13" x14ac:dyDescent="0.15">
      <c r="H204" s="77"/>
      <c r="M204" s="165"/>
      <c r="O204" s="165"/>
    </row>
    <row r="205" spans="8:15" ht="13" x14ac:dyDescent="0.15">
      <c r="H205" s="77"/>
      <c r="M205" s="165"/>
      <c r="O205" s="165"/>
    </row>
    <row r="206" spans="8:15" ht="13" x14ac:dyDescent="0.15">
      <c r="H206" s="77"/>
      <c r="M206" s="165"/>
      <c r="O206" s="165"/>
    </row>
    <row r="207" spans="8:15" ht="13" x14ac:dyDescent="0.15">
      <c r="H207" s="77"/>
      <c r="M207" s="165"/>
      <c r="O207" s="165"/>
    </row>
    <row r="208" spans="8:15" ht="13" x14ac:dyDescent="0.15">
      <c r="H208" s="77"/>
      <c r="M208" s="165"/>
      <c r="O208" s="165"/>
    </row>
    <row r="209" spans="8:15" ht="13" x14ac:dyDescent="0.15">
      <c r="H209" s="77"/>
      <c r="M209" s="165"/>
      <c r="O209" s="165"/>
    </row>
    <row r="210" spans="8:15" ht="13" x14ac:dyDescent="0.15">
      <c r="H210" s="77"/>
      <c r="M210" s="165"/>
      <c r="O210" s="165"/>
    </row>
    <row r="211" spans="8:15" ht="13" x14ac:dyDescent="0.15">
      <c r="H211" s="77"/>
      <c r="M211" s="165"/>
      <c r="O211" s="165"/>
    </row>
    <row r="212" spans="8:15" ht="13" x14ac:dyDescent="0.15">
      <c r="H212" s="77"/>
      <c r="M212" s="165"/>
      <c r="O212" s="165"/>
    </row>
    <row r="213" spans="8:15" ht="13" x14ac:dyDescent="0.15">
      <c r="H213" s="77"/>
      <c r="M213" s="165"/>
      <c r="O213" s="165"/>
    </row>
    <row r="214" spans="8:15" ht="13" x14ac:dyDescent="0.15">
      <c r="H214" s="77"/>
      <c r="M214" s="165"/>
      <c r="O214" s="165"/>
    </row>
    <row r="215" spans="8:15" ht="13" x14ac:dyDescent="0.15">
      <c r="H215" s="77"/>
      <c r="M215" s="165"/>
      <c r="O215" s="165"/>
    </row>
    <row r="216" spans="8:15" ht="13" x14ac:dyDescent="0.15">
      <c r="H216" s="77"/>
      <c r="M216" s="165"/>
      <c r="O216" s="165"/>
    </row>
    <row r="217" spans="8:15" ht="13" x14ac:dyDescent="0.15">
      <c r="H217" s="77"/>
      <c r="M217" s="165"/>
      <c r="O217" s="165"/>
    </row>
    <row r="218" spans="8:15" ht="13" x14ac:dyDescent="0.15">
      <c r="H218" s="77"/>
      <c r="M218" s="165"/>
      <c r="O218" s="165"/>
    </row>
    <row r="219" spans="8:15" ht="13" x14ac:dyDescent="0.15">
      <c r="H219" s="77"/>
      <c r="M219" s="165"/>
      <c r="O219" s="165"/>
    </row>
    <row r="220" spans="8:15" ht="13" x14ac:dyDescent="0.15">
      <c r="H220" s="77"/>
      <c r="M220" s="165"/>
      <c r="O220" s="165"/>
    </row>
    <row r="221" spans="8:15" ht="13" x14ac:dyDescent="0.15">
      <c r="H221" s="77"/>
      <c r="M221" s="165"/>
      <c r="O221" s="165"/>
    </row>
    <row r="222" spans="8:15" ht="13" x14ac:dyDescent="0.15">
      <c r="H222" s="77"/>
      <c r="M222" s="165"/>
      <c r="O222" s="165"/>
    </row>
    <row r="223" spans="8:15" ht="13" x14ac:dyDescent="0.15">
      <c r="H223" s="77"/>
      <c r="M223" s="165"/>
      <c r="O223" s="165"/>
    </row>
    <row r="224" spans="8:15" ht="13" x14ac:dyDescent="0.15">
      <c r="H224" s="77"/>
      <c r="M224" s="165"/>
      <c r="O224" s="165"/>
    </row>
    <row r="225" spans="8:15" ht="13" x14ac:dyDescent="0.15">
      <c r="H225" s="77"/>
      <c r="M225" s="165"/>
      <c r="O225" s="165"/>
    </row>
    <row r="226" spans="8:15" ht="13" x14ac:dyDescent="0.15">
      <c r="H226" s="77"/>
      <c r="M226" s="165"/>
      <c r="O226" s="165"/>
    </row>
    <row r="227" spans="8:15" ht="13" x14ac:dyDescent="0.15">
      <c r="H227" s="77"/>
      <c r="M227" s="165"/>
      <c r="O227" s="165"/>
    </row>
    <row r="228" spans="8:15" ht="13" x14ac:dyDescent="0.15">
      <c r="H228" s="77"/>
      <c r="M228" s="165"/>
      <c r="O228" s="165"/>
    </row>
    <row r="229" spans="8:15" ht="13" x14ac:dyDescent="0.15">
      <c r="H229" s="77"/>
      <c r="M229" s="165"/>
      <c r="O229" s="165"/>
    </row>
    <row r="230" spans="8:15" ht="13" x14ac:dyDescent="0.15">
      <c r="H230" s="77"/>
      <c r="M230" s="165"/>
      <c r="O230" s="165"/>
    </row>
    <row r="231" spans="8:15" ht="13" x14ac:dyDescent="0.15">
      <c r="H231" s="77"/>
      <c r="M231" s="165"/>
      <c r="O231" s="165"/>
    </row>
    <row r="232" spans="8:15" ht="13" x14ac:dyDescent="0.15">
      <c r="H232" s="77"/>
      <c r="M232" s="165"/>
      <c r="O232" s="165"/>
    </row>
    <row r="233" spans="8:15" ht="13" x14ac:dyDescent="0.15">
      <c r="H233" s="77"/>
      <c r="M233" s="165"/>
      <c r="O233" s="165"/>
    </row>
    <row r="234" spans="8:15" ht="13" x14ac:dyDescent="0.15">
      <c r="H234" s="77"/>
      <c r="M234" s="165"/>
      <c r="O234" s="165"/>
    </row>
    <row r="235" spans="8:15" ht="13" x14ac:dyDescent="0.15">
      <c r="H235" s="77"/>
      <c r="M235" s="165"/>
      <c r="O235" s="165"/>
    </row>
    <row r="236" spans="8:15" ht="13" x14ac:dyDescent="0.15">
      <c r="H236" s="77"/>
      <c r="M236" s="165"/>
      <c r="O236" s="165"/>
    </row>
    <row r="237" spans="8:15" ht="13" x14ac:dyDescent="0.15">
      <c r="H237" s="77"/>
      <c r="M237" s="165"/>
      <c r="O237" s="165"/>
    </row>
    <row r="238" spans="8:15" ht="13" x14ac:dyDescent="0.15">
      <c r="H238" s="77"/>
      <c r="M238" s="165"/>
      <c r="O238" s="165"/>
    </row>
    <row r="239" spans="8:15" ht="13" x14ac:dyDescent="0.15">
      <c r="H239" s="77"/>
      <c r="M239" s="165"/>
      <c r="O239" s="165"/>
    </row>
    <row r="240" spans="8:15" ht="13" x14ac:dyDescent="0.15">
      <c r="H240" s="77"/>
      <c r="M240" s="165"/>
      <c r="O240" s="165"/>
    </row>
    <row r="241" spans="8:15" ht="13" x14ac:dyDescent="0.15">
      <c r="H241" s="77"/>
      <c r="M241" s="165"/>
      <c r="O241" s="165"/>
    </row>
    <row r="242" spans="8:15" ht="13" x14ac:dyDescent="0.15">
      <c r="H242" s="77"/>
      <c r="M242" s="165"/>
      <c r="O242" s="165"/>
    </row>
    <row r="243" spans="8:15" ht="13" x14ac:dyDescent="0.15">
      <c r="H243" s="77"/>
      <c r="M243" s="165"/>
      <c r="O243" s="165"/>
    </row>
    <row r="244" spans="8:15" ht="13" x14ac:dyDescent="0.15">
      <c r="H244" s="77"/>
      <c r="M244" s="165"/>
      <c r="O244" s="165"/>
    </row>
    <row r="245" spans="8:15" ht="13" x14ac:dyDescent="0.15">
      <c r="H245" s="77"/>
      <c r="M245" s="165"/>
      <c r="O245" s="165"/>
    </row>
    <row r="246" spans="8:15" ht="13" x14ac:dyDescent="0.15">
      <c r="H246" s="77"/>
      <c r="M246" s="165"/>
      <c r="O246" s="165"/>
    </row>
    <row r="247" spans="8:15" ht="13" x14ac:dyDescent="0.15">
      <c r="H247" s="77"/>
      <c r="M247" s="165"/>
      <c r="O247" s="165"/>
    </row>
    <row r="248" spans="8:15" ht="13" x14ac:dyDescent="0.15">
      <c r="H248" s="77"/>
      <c r="M248" s="165"/>
      <c r="O248" s="165"/>
    </row>
    <row r="249" spans="8:15" ht="13" x14ac:dyDescent="0.15">
      <c r="H249" s="77"/>
      <c r="M249" s="165"/>
      <c r="O249" s="165"/>
    </row>
    <row r="250" spans="8:15" ht="13" x14ac:dyDescent="0.15">
      <c r="H250" s="77"/>
      <c r="M250" s="165"/>
      <c r="O250" s="165"/>
    </row>
    <row r="251" spans="8:15" ht="13" x14ac:dyDescent="0.15">
      <c r="H251" s="77"/>
      <c r="M251" s="165"/>
      <c r="O251" s="165"/>
    </row>
    <row r="252" spans="8:15" ht="13" x14ac:dyDescent="0.15">
      <c r="H252" s="77"/>
      <c r="M252" s="165"/>
      <c r="O252" s="165"/>
    </row>
    <row r="253" spans="8:15" ht="13" x14ac:dyDescent="0.15">
      <c r="H253" s="77"/>
      <c r="M253" s="165"/>
      <c r="O253" s="165"/>
    </row>
    <row r="254" spans="8:15" ht="13" x14ac:dyDescent="0.15">
      <c r="H254" s="77"/>
      <c r="M254" s="165"/>
      <c r="O254" s="165"/>
    </row>
    <row r="255" spans="8:15" ht="13" x14ac:dyDescent="0.15">
      <c r="H255" s="77"/>
      <c r="M255" s="165"/>
      <c r="O255" s="165"/>
    </row>
    <row r="256" spans="8:15" ht="13" x14ac:dyDescent="0.15">
      <c r="H256" s="77"/>
      <c r="M256" s="165"/>
      <c r="O256" s="165"/>
    </row>
    <row r="257" spans="8:15" ht="13" x14ac:dyDescent="0.15">
      <c r="H257" s="77"/>
      <c r="M257" s="165"/>
      <c r="O257" s="165"/>
    </row>
    <row r="258" spans="8:15" ht="13" x14ac:dyDescent="0.15">
      <c r="H258" s="77"/>
      <c r="M258" s="165"/>
      <c r="O258" s="165"/>
    </row>
    <row r="259" spans="8:15" ht="13" x14ac:dyDescent="0.15">
      <c r="H259" s="77"/>
      <c r="M259" s="165"/>
      <c r="O259" s="165"/>
    </row>
    <row r="260" spans="8:15" ht="13" x14ac:dyDescent="0.15">
      <c r="H260" s="77"/>
      <c r="M260" s="165"/>
      <c r="O260" s="165"/>
    </row>
    <row r="261" spans="8:15" ht="13" x14ac:dyDescent="0.15">
      <c r="H261" s="77"/>
      <c r="M261" s="165"/>
      <c r="O261" s="165"/>
    </row>
    <row r="262" spans="8:15" ht="13" x14ac:dyDescent="0.15">
      <c r="H262" s="77"/>
      <c r="M262" s="165"/>
      <c r="O262" s="165"/>
    </row>
    <row r="263" spans="8:15" ht="13" x14ac:dyDescent="0.15">
      <c r="H263" s="77"/>
      <c r="M263" s="165"/>
      <c r="O263" s="165"/>
    </row>
    <row r="264" spans="8:15" ht="13" x14ac:dyDescent="0.15">
      <c r="H264" s="77"/>
      <c r="M264" s="165"/>
      <c r="O264" s="165"/>
    </row>
    <row r="265" spans="8:15" ht="13" x14ac:dyDescent="0.15">
      <c r="H265" s="77"/>
      <c r="M265" s="165"/>
      <c r="O265" s="165"/>
    </row>
    <row r="266" spans="8:15" ht="13" x14ac:dyDescent="0.15">
      <c r="H266" s="77"/>
      <c r="M266" s="165"/>
      <c r="O266" s="165"/>
    </row>
    <row r="267" spans="8:15" ht="13" x14ac:dyDescent="0.15">
      <c r="H267" s="77"/>
      <c r="M267" s="165"/>
      <c r="O267" s="165"/>
    </row>
    <row r="268" spans="8:15" ht="13" x14ac:dyDescent="0.15">
      <c r="H268" s="77"/>
      <c r="M268" s="165"/>
      <c r="O268" s="165"/>
    </row>
    <row r="269" spans="8:15" ht="13" x14ac:dyDescent="0.15">
      <c r="H269" s="77"/>
      <c r="M269" s="165"/>
      <c r="O269" s="165"/>
    </row>
    <row r="270" spans="8:15" ht="13" x14ac:dyDescent="0.15">
      <c r="H270" s="77"/>
      <c r="M270" s="165"/>
      <c r="O270" s="165"/>
    </row>
    <row r="271" spans="8:15" ht="13" x14ac:dyDescent="0.15">
      <c r="H271" s="77"/>
      <c r="M271" s="165"/>
      <c r="O271" s="165"/>
    </row>
    <row r="272" spans="8:15" ht="13" x14ac:dyDescent="0.15">
      <c r="H272" s="77"/>
      <c r="M272" s="165"/>
      <c r="O272" s="165"/>
    </row>
    <row r="273" spans="8:15" ht="13" x14ac:dyDescent="0.15">
      <c r="H273" s="77"/>
      <c r="M273" s="165"/>
      <c r="O273" s="165"/>
    </row>
    <row r="274" spans="8:15" ht="13" x14ac:dyDescent="0.15">
      <c r="H274" s="77"/>
      <c r="M274" s="165"/>
      <c r="O274" s="165"/>
    </row>
    <row r="275" spans="8:15" ht="13" x14ac:dyDescent="0.15">
      <c r="H275" s="77"/>
      <c r="M275" s="165"/>
      <c r="O275" s="165"/>
    </row>
    <row r="276" spans="8:15" ht="13" x14ac:dyDescent="0.15">
      <c r="H276" s="77"/>
      <c r="M276" s="165"/>
      <c r="O276" s="165"/>
    </row>
    <row r="277" spans="8:15" ht="13" x14ac:dyDescent="0.15">
      <c r="H277" s="77"/>
      <c r="M277" s="165"/>
      <c r="O277" s="165"/>
    </row>
    <row r="278" spans="8:15" ht="13" x14ac:dyDescent="0.15">
      <c r="H278" s="77"/>
      <c r="M278" s="165"/>
      <c r="O278" s="165"/>
    </row>
    <row r="279" spans="8:15" ht="13" x14ac:dyDescent="0.15">
      <c r="H279" s="77"/>
      <c r="M279" s="165"/>
      <c r="O279" s="165"/>
    </row>
    <row r="280" spans="8:15" ht="13" x14ac:dyDescent="0.15">
      <c r="H280" s="77"/>
      <c r="M280" s="165"/>
      <c r="O280" s="165"/>
    </row>
    <row r="281" spans="8:15" ht="13" x14ac:dyDescent="0.15">
      <c r="H281" s="77"/>
      <c r="M281" s="165"/>
      <c r="O281" s="165"/>
    </row>
    <row r="282" spans="8:15" ht="13" x14ac:dyDescent="0.15">
      <c r="H282" s="77"/>
      <c r="M282" s="165"/>
      <c r="O282" s="165"/>
    </row>
    <row r="283" spans="8:15" ht="13" x14ac:dyDescent="0.15">
      <c r="H283" s="77"/>
      <c r="M283" s="165"/>
      <c r="O283" s="165"/>
    </row>
    <row r="284" spans="8:15" ht="13" x14ac:dyDescent="0.15">
      <c r="H284" s="77"/>
      <c r="M284" s="165"/>
      <c r="O284" s="165"/>
    </row>
    <row r="285" spans="8:15" ht="13" x14ac:dyDescent="0.15">
      <c r="H285" s="77"/>
      <c r="M285" s="165"/>
      <c r="O285" s="165"/>
    </row>
    <row r="286" spans="8:15" ht="13" x14ac:dyDescent="0.15">
      <c r="H286" s="77"/>
      <c r="M286" s="165"/>
      <c r="O286" s="165"/>
    </row>
    <row r="287" spans="8:15" ht="13" x14ac:dyDescent="0.15">
      <c r="H287" s="77"/>
      <c r="M287" s="165"/>
      <c r="O287" s="165"/>
    </row>
    <row r="288" spans="8:15" ht="13" x14ac:dyDescent="0.15">
      <c r="H288" s="77"/>
      <c r="M288" s="165"/>
      <c r="O288" s="165"/>
    </row>
    <row r="289" spans="8:15" ht="13" x14ac:dyDescent="0.15">
      <c r="H289" s="77"/>
      <c r="M289" s="165"/>
      <c r="O289" s="165"/>
    </row>
    <row r="290" spans="8:15" ht="13" x14ac:dyDescent="0.15">
      <c r="H290" s="77"/>
      <c r="M290" s="165"/>
      <c r="O290" s="165"/>
    </row>
    <row r="291" spans="8:15" ht="13" x14ac:dyDescent="0.15">
      <c r="H291" s="77"/>
      <c r="M291" s="165"/>
      <c r="O291" s="165"/>
    </row>
    <row r="292" spans="8:15" ht="13" x14ac:dyDescent="0.15">
      <c r="H292" s="77"/>
      <c r="M292" s="165"/>
      <c r="O292" s="165"/>
    </row>
    <row r="293" spans="8:15" ht="13" x14ac:dyDescent="0.15">
      <c r="H293" s="77"/>
      <c r="M293" s="165"/>
      <c r="O293" s="165"/>
    </row>
    <row r="294" spans="8:15" ht="13" x14ac:dyDescent="0.15">
      <c r="H294" s="77"/>
      <c r="M294" s="165"/>
      <c r="O294" s="165"/>
    </row>
    <row r="295" spans="8:15" ht="13" x14ac:dyDescent="0.15">
      <c r="H295" s="77"/>
      <c r="M295" s="165"/>
      <c r="O295" s="165"/>
    </row>
    <row r="296" spans="8:15" ht="13" x14ac:dyDescent="0.15">
      <c r="H296" s="77"/>
      <c r="M296" s="165"/>
      <c r="O296" s="165"/>
    </row>
    <row r="297" spans="8:15" ht="13" x14ac:dyDescent="0.15">
      <c r="H297" s="77"/>
      <c r="M297" s="165"/>
      <c r="O297" s="165"/>
    </row>
    <row r="298" spans="8:15" ht="13" x14ac:dyDescent="0.15">
      <c r="H298" s="77"/>
      <c r="M298" s="165"/>
      <c r="O298" s="165"/>
    </row>
    <row r="299" spans="8:15" ht="13" x14ac:dyDescent="0.15">
      <c r="H299" s="77"/>
      <c r="M299" s="165"/>
      <c r="O299" s="165"/>
    </row>
    <row r="300" spans="8:15" ht="13" x14ac:dyDescent="0.15">
      <c r="H300" s="77"/>
      <c r="M300" s="165"/>
      <c r="O300" s="165"/>
    </row>
    <row r="301" spans="8:15" ht="13" x14ac:dyDescent="0.15">
      <c r="H301" s="77"/>
      <c r="M301" s="165"/>
      <c r="O301" s="165"/>
    </row>
    <row r="302" spans="8:15" ht="13" x14ac:dyDescent="0.15">
      <c r="H302" s="77"/>
      <c r="M302" s="165"/>
      <c r="O302" s="165"/>
    </row>
    <row r="303" spans="8:15" ht="13" x14ac:dyDescent="0.15">
      <c r="H303" s="77"/>
      <c r="M303" s="165"/>
      <c r="O303" s="165"/>
    </row>
    <row r="304" spans="8:15" ht="13" x14ac:dyDescent="0.15">
      <c r="H304" s="77"/>
      <c r="M304" s="165"/>
      <c r="O304" s="165"/>
    </row>
    <row r="305" spans="8:15" ht="13" x14ac:dyDescent="0.15">
      <c r="H305" s="77"/>
      <c r="M305" s="165"/>
      <c r="O305" s="165"/>
    </row>
    <row r="306" spans="8:15" ht="13" x14ac:dyDescent="0.15">
      <c r="H306" s="77"/>
      <c r="M306" s="165"/>
      <c r="O306" s="165"/>
    </row>
    <row r="307" spans="8:15" ht="13" x14ac:dyDescent="0.15">
      <c r="H307" s="77"/>
      <c r="M307" s="165"/>
      <c r="O307" s="165"/>
    </row>
    <row r="308" spans="8:15" ht="13" x14ac:dyDescent="0.15">
      <c r="H308" s="77"/>
      <c r="M308" s="165"/>
      <c r="O308" s="165"/>
    </row>
    <row r="309" spans="8:15" ht="13" x14ac:dyDescent="0.15">
      <c r="H309" s="77"/>
      <c r="M309" s="165"/>
      <c r="O309" s="165"/>
    </row>
    <row r="310" spans="8:15" ht="13" x14ac:dyDescent="0.15">
      <c r="H310" s="77"/>
      <c r="M310" s="165"/>
      <c r="O310" s="165"/>
    </row>
    <row r="311" spans="8:15" ht="13" x14ac:dyDescent="0.15">
      <c r="H311" s="77"/>
      <c r="M311" s="165"/>
      <c r="O311" s="165"/>
    </row>
    <row r="312" spans="8:15" ht="13" x14ac:dyDescent="0.15">
      <c r="H312" s="77"/>
      <c r="M312" s="165"/>
      <c r="O312" s="165"/>
    </row>
    <row r="313" spans="8:15" ht="13" x14ac:dyDescent="0.15">
      <c r="H313" s="77"/>
      <c r="M313" s="165"/>
      <c r="O313" s="165"/>
    </row>
    <row r="314" spans="8:15" ht="13" x14ac:dyDescent="0.15">
      <c r="H314" s="77"/>
      <c r="M314" s="165"/>
      <c r="O314" s="165"/>
    </row>
    <row r="315" spans="8:15" ht="13" x14ac:dyDescent="0.15">
      <c r="H315" s="77"/>
      <c r="M315" s="165"/>
      <c r="O315" s="165"/>
    </row>
    <row r="316" spans="8:15" ht="13" x14ac:dyDescent="0.15">
      <c r="H316" s="77"/>
      <c r="M316" s="165"/>
      <c r="O316" s="165"/>
    </row>
    <row r="317" spans="8:15" ht="13" x14ac:dyDescent="0.15">
      <c r="H317" s="77"/>
      <c r="M317" s="165"/>
      <c r="O317" s="165"/>
    </row>
    <row r="318" spans="8:15" ht="13" x14ac:dyDescent="0.15">
      <c r="H318" s="77"/>
      <c r="M318" s="165"/>
      <c r="O318" s="165"/>
    </row>
    <row r="319" spans="8:15" ht="13" x14ac:dyDescent="0.15">
      <c r="H319" s="77"/>
      <c r="M319" s="165"/>
      <c r="O319" s="165"/>
    </row>
    <row r="320" spans="8:15" ht="13" x14ac:dyDescent="0.15">
      <c r="H320" s="77"/>
      <c r="M320" s="165"/>
      <c r="O320" s="165"/>
    </row>
    <row r="321" spans="8:15" ht="13" x14ac:dyDescent="0.15">
      <c r="H321" s="77"/>
      <c r="M321" s="165"/>
      <c r="O321" s="165"/>
    </row>
    <row r="322" spans="8:15" ht="13" x14ac:dyDescent="0.15">
      <c r="H322" s="77"/>
      <c r="M322" s="165"/>
      <c r="O322" s="165"/>
    </row>
    <row r="323" spans="8:15" ht="13" x14ac:dyDescent="0.15">
      <c r="H323" s="77"/>
      <c r="M323" s="165"/>
      <c r="O323" s="165"/>
    </row>
    <row r="324" spans="8:15" ht="13" x14ac:dyDescent="0.15">
      <c r="H324" s="77"/>
      <c r="M324" s="165"/>
      <c r="O324" s="165"/>
    </row>
    <row r="325" spans="8:15" ht="13" x14ac:dyDescent="0.15">
      <c r="H325" s="77"/>
      <c r="M325" s="165"/>
      <c r="O325" s="165"/>
    </row>
    <row r="326" spans="8:15" ht="13" x14ac:dyDescent="0.15">
      <c r="H326" s="77"/>
      <c r="M326" s="165"/>
      <c r="O326" s="165"/>
    </row>
    <row r="327" spans="8:15" ht="13" x14ac:dyDescent="0.15">
      <c r="H327" s="77"/>
      <c r="M327" s="165"/>
      <c r="O327" s="165"/>
    </row>
    <row r="328" spans="8:15" ht="13" x14ac:dyDescent="0.15">
      <c r="H328" s="77"/>
      <c r="M328" s="165"/>
      <c r="O328" s="165"/>
    </row>
    <row r="329" spans="8:15" ht="13" x14ac:dyDescent="0.15">
      <c r="H329" s="77"/>
      <c r="M329" s="165"/>
      <c r="O329" s="165"/>
    </row>
    <row r="330" spans="8:15" ht="13" x14ac:dyDescent="0.15">
      <c r="H330" s="77"/>
      <c r="M330" s="165"/>
      <c r="O330" s="165"/>
    </row>
    <row r="331" spans="8:15" ht="13" x14ac:dyDescent="0.15">
      <c r="H331" s="77"/>
      <c r="M331" s="165"/>
      <c r="O331" s="165"/>
    </row>
    <row r="332" spans="8:15" ht="13" x14ac:dyDescent="0.15">
      <c r="H332" s="77"/>
      <c r="M332" s="165"/>
      <c r="O332" s="165"/>
    </row>
    <row r="333" spans="8:15" ht="13" x14ac:dyDescent="0.15">
      <c r="H333" s="77"/>
      <c r="M333" s="165"/>
      <c r="O333" s="165"/>
    </row>
    <row r="334" spans="8:15" ht="13" x14ac:dyDescent="0.15">
      <c r="H334" s="77"/>
      <c r="M334" s="165"/>
      <c r="O334" s="165"/>
    </row>
    <row r="335" spans="8:15" ht="13" x14ac:dyDescent="0.15">
      <c r="H335" s="77"/>
      <c r="M335" s="165"/>
      <c r="O335" s="165"/>
    </row>
    <row r="336" spans="8:15" ht="13" x14ac:dyDescent="0.15">
      <c r="H336" s="77"/>
      <c r="M336" s="165"/>
      <c r="O336" s="165"/>
    </row>
    <row r="337" spans="8:15" ht="13" x14ac:dyDescent="0.15">
      <c r="H337" s="77"/>
      <c r="M337" s="165"/>
      <c r="O337" s="165"/>
    </row>
    <row r="338" spans="8:15" ht="13" x14ac:dyDescent="0.15">
      <c r="H338" s="77"/>
      <c r="M338" s="165"/>
      <c r="O338" s="165"/>
    </row>
    <row r="339" spans="8:15" ht="13" x14ac:dyDescent="0.15">
      <c r="H339" s="77"/>
      <c r="M339" s="165"/>
      <c r="O339" s="165"/>
    </row>
    <row r="340" spans="8:15" ht="13" x14ac:dyDescent="0.15">
      <c r="H340" s="77"/>
      <c r="M340" s="165"/>
      <c r="O340" s="165"/>
    </row>
    <row r="341" spans="8:15" ht="13" x14ac:dyDescent="0.15">
      <c r="H341" s="77"/>
      <c r="M341" s="165"/>
      <c r="O341" s="165"/>
    </row>
    <row r="342" spans="8:15" ht="13" x14ac:dyDescent="0.15">
      <c r="H342" s="77"/>
      <c r="M342" s="165"/>
      <c r="O342" s="165"/>
    </row>
    <row r="343" spans="8:15" ht="13" x14ac:dyDescent="0.15">
      <c r="H343" s="77"/>
      <c r="M343" s="165"/>
      <c r="O343" s="165"/>
    </row>
    <row r="344" spans="8:15" ht="13" x14ac:dyDescent="0.15">
      <c r="H344" s="77"/>
      <c r="M344" s="165"/>
      <c r="O344" s="165"/>
    </row>
    <row r="345" spans="8:15" ht="13" x14ac:dyDescent="0.15">
      <c r="H345" s="77"/>
      <c r="M345" s="165"/>
      <c r="O345" s="165"/>
    </row>
    <row r="346" spans="8:15" ht="13" x14ac:dyDescent="0.15">
      <c r="H346" s="77"/>
      <c r="M346" s="165"/>
      <c r="O346" s="165"/>
    </row>
    <row r="347" spans="8:15" ht="13" x14ac:dyDescent="0.15">
      <c r="H347" s="77"/>
      <c r="M347" s="165"/>
      <c r="O347" s="165"/>
    </row>
    <row r="348" spans="8:15" ht="13" x14ac:dyDescent="0.15">
      <c r="H348" s="77"/>
      <c r="M348" s="165"/>
      <c r="O348" s="165"/>
    </row>
    <row r="349" spans="8:15" ht="13" x14ac:dyDescent="0.15">
      <c r="H349" s="77"/>
      <c r="M349" s="165"/>
      <c r="O349" s="165"/>
    </row>
    <row r="350" spans="8:15" ht="13" x14ac:dyDescent="0.15">
      <c r="H350" s="77"/>
      <c r="M350" s="165"/>
      <c r="O350" s="165"/>
    </row>
    <row r="351" spans="8:15" ht="13" x14ac:dyDescent="0.15">
      <c r="H351" s="77"/>
      <c r="M351" s="165"/>
      <c r="O351" s="165"/>
    </row>
    <row r="352" spans="8:15" ht="13" x14ac:dyDescent="0.15">
      <c r="H352" s="77"/>
      <c r="M352" s="165"/>
      <c r="O352" s="165"/>
    </row>
    <row r="353" spans="8:15" ht="13" x14ac:dyDescent="0.15">
      <c r="H353" s="77"/>
      <c r="M353" s="165"/>
      <c r="O353" s="165"/>
    </row>
    <row r="354" spans="8:15" ht="13" x14ac:dyDescent="0.15">
      <c r="H354" s="77"/>
      <c r="M354" s="165"/>
      <c r="O354" s="165"/>
    </row>
    <row r="355" spans="8:15" ht="13" x14ac:dyDescent="0.15">
      <c r="H355" s="77"/>
      <c r="M355" s="165"/>
      <c r="O355" s="165"/>
    </row>
    <row r="356" spans="8:15" ht="13" x14ac:dyDescent="0.15">
      <c r="H356" s="77"/>
      <c r="M356" s="165"/>
      <c r="O356" s="165"/>
    </row>
    <row r="357" spans="8:15" ht="13" x14ac:dyDescent="0.15">
      <c r="H357" s="77"/>
      <c r="M357" s="165"/>
      <c r="O357" s="165"/>
    </row>
    <row r="358" spans="8:15" ht="13" x14ac:dyDescent="0.15">
      <c r="H358" s="77"/>
      <c r="M358" s="165"/>
      <c r="O358" s="165"/>
    </row>
    <row r="359" spans="8:15" ht="13" x14ac:dyDescent="0.15">
      <c r="H359" s="77"/>
      <c r="M359" s="165"/>
      <c r="O359" s="165"/>
    </row>
    <row r="360" spans="8:15" ht="13" x14ac:dyDescent="0.15">
      <c r="H360" s="77"/>
      <c r="M360" s="165"/>
      <c r="O360" s="165"/>
    </row>
    <row r="361" spans="8:15" ht="13" x14ac:dyDescent="0.15">
      <c r="H361" s="77"/>
      <c r="M361" s="165"/>
      <c r="O361" s="165"/>
    </row>
    <row r="362" spans="8:15" ht="13" x14ac:dyDescent="0.15">
      <c r="H362" s="77"/>
      <c r="M362" s="165"/>
      <c r="O362" s="165"/>
    </row>
    <row r="363" spans="8:15" ht="13" x14ac:dyDescent="0.15">
      <c r="H363" s="77"/>
      <c r="M363" s="165"/>
      <c r="O363" s="165"/>
    </row>
    <row r="364" spans="8:15" ht="13" x14ac:dyDescent="0.15">
      <c r="H364" s="77"/>
      <c r="M364" s="165"/>
      <c r="O364" s="165"/>
    </row>
    <row r="365" spans="8:15" ht="13" x14ac:dyDescent="0.15">
      <c r="H365" s="77"/>
      <c r="M365" s="165"/>
      <c r="O365" s="165"/>
    </row>
    <row r="366" spans="8:15" ht="13" x14ac:dyDescent="0.15">
      <c r="H366" s="77"/>
      <c r="M366" s="165"/>
      <c r="O366" s="165"/>
    </row>
    <row r="367" spans="8:15" ht="13" x14ac:dyDescent="0.15">
      <c r="H367" s="77"/>
      <c r="M367" s="165"/>
      <c r="O367" s="165"/>
    </row>
    <row r="368" spans="8:15" ht="13" x14ac:dyDescent="0.15">
      <c r="H368" s="77"/>
      <c r="M368" s="165"/>
      <c r="O368" s="165"/>
    </row>
    <row r="369" spans="8:15" ht="13" x14ac:dyDescent="0.15">
      <c r="H369" s="77"/>
      <c r="M369" s="165"/>
      <c r="O369" s="165"/>
    </row>
    <row r="370" spans="8:15" ht="13" x14ac:dyDescent="0.15">
      <c r="H370" s="77"/>
      <c r="M370" s="165"/>
      <c r="O370" s="165"/>
    </row>
    <row r="371" spans="8:15" ht="13" x14ac:dyDescent="0.15">
      <c r="H371" s="77"/>
      <c r="M371" s="165"/>
      <c r="O371" s="165"/>
    </row>
    <row r="372" spans="8:15" ht="13" x14ac:dyDescent="0.15">
      <c r="H372" s="77"/>
      <c r="M372" s="165"/>
      <c r="O372" s="165"/>
    </row>
    <row r="373" spans="8:15" ht="13" x14ac:dyDescent="0.15">
      <c r="H373" s="77"/>
      <c r="M373" s="165"/>
      <c r="O373" s="165"/>
    </row>
    <row r="374" spans="8:15" ht="13" x14ac:dyDescent="0.15">
      <c r="H374" s="77"/>
      <c r="M374" s="165"/>
      <c r="O374" s="165"/>
    </row>
    <row r="375" spans="8:15" ht="13" x14ac:dyDescent="0.15">
      <c r="H375" s="77"/>
      <c r="M375" s="165"/>
      <c r="O375" s="165"/>
    </row>
    <row r="376" spans="8:15" ht="13" x14ac:dyDescent="0.15">
      <c r="H376" s="77"/>
      <c r="M376" s="165"/>
      <c r="O376" s="165"/>
    </row>
    <row r="377" spans="8:15" ht="13" x14ac:dyDescent="0.15">
      <c r="H377" s="77"/>
      <c r="M377" s="165"/>
      <c r="O377" s="165"/>
    </row>
    <row r="378" spans="8:15" ht="13" x14ac:dyDescent="0.15">
      <c r="H378" s="77"/>
      <c r="M378" s="165"/>
      <c r="O378" s="165"/>
    </row>
    <row r="379" spans="8:15" ht="13" x14ac:dyDescent="0.15">
      <c r="H379" s="77"/>
      <c r="M379" s="165"/>
      <c r="O379" s="165"/>
    </row>
    <row r="380" spans="8:15" ht="13" x14ac:dyDescent="0.15">
      <c r="H380" s="77"/>
      <c r="M380" s="165"/>
      <c r="O380" s="165"/>
    </row>
    <row r="381" spans="8:15" ht="13" x14ac:dyDescent="0.15">
      <c r="H381" s="77"/>
      <c r="M381" s="165"/>
      <c r="O381" s="165"/>
    </row>
    <row r="382" spans="8:15" ht="13" x14ac:dyDescent="0.15">
      <c r="H382" s="77"/>
      <c r="M382" s="165"/>
      <c r="O382" s="165"/>
    </row>
    <row r="383" spans="8:15" ht="13" x14ac:dyDescent="0.15">
      <c r="H383" s="77"/>
      <c r="M383" s="165"/>
      <c r="O383" s="165"/>
    </row>
    <row r="384" spans="8:15" ht="13" x14ac:dyDescent="0.15">
      <c r="H384" s="77"/>
      <c r="M384" s="165"/>
      <c r="O384" s="165"/>
    </row>
    <row r="385" spans="8:15" ht="13" x14ac:dyDescent="0.15">
      <c r="H385" s="77"/>
      <c r="M385" s="165"/>
      <c r="O385" s="165"/>
    </row>
    <row r="386" spans="8:15" ht="13" x14ac:dyDescent="0.15">
      <c r="H386" s="77"/>
      <c r="M386" s="165"/>
      <c r="O386" s="165"/>
    </row>
    <row r="387" spans="8:15" ht="13" x14ac:dyDescent="0.15">
      <c r="H387" s="77"/>
      <c r="M387" s="165"/>
      <c r="O387" s="165"/>
    </row>
    <row r="388" spans="8:15" ht="13" x14ac:dyDescent="0.15">
      <c r="H388" s="77"/>
      <c r="M388" s="165"/>
      <c r="O388" s="165"/>
    </row>
    <row r="389" spans="8:15" ht="13" x14ac:dyDescent="0.15">
      <c r="H389" s="77"/>
      <c r="M389" s="165"/>
      <c r="O389" s="165"/>
    </row>
    <row r="390" spans="8:15" ht="13" x14ac:dyDescent="0.15">
      <c r="H390" s="77"/>
      <c r="M390" s="165"/>
      <c r="O390" s="165"/>
    </row>
    <row r="391" spans="8:15" ht="13" x14ac:dyDescent="0.15">
      <c r="H391" s="77"/>
      <c r="M391" s="165"/>
      <c r="O391" s="165"/>
    </row>
    <row r="392" spans="8:15" ht="13" x14ac:dyDescent="0.15">
      <c r="H392" s="77"/>
      <c r="M392" s="165"/>
      <c r="O392" s="165"/>
    </row>
    <row r="393" spans="8:15" ht="13" x14ac:dyDescent="0.15">
      <c r="H393" s="77"/>
      <c r="M393" s="165"/>
      <c r="O393" s="165"/>
    </row>
    <row r="394" spans="8:15" ht="13" x14ac:dyDescent="0.15">
      <c r="H394" s="77"/>
      <c r="M394" s="165"/>
      <c r="O394" s="165"/>
    </row>
    <row r="395" spans="8:15" ht="13" x14ac:dyDescent="0.15">
      <c r="H395" s="77"/>
      <c r="M395" s="165"/>
      <c r="O395" s="165"/>
    </row>
    <row r="396" spans="8:15" ht="13" x14ac:dyDescent="0.15">
      <c r="H396" s="77"/>
      <c r="M396" s="165"/>
      <c r="O396" s="165"/>
    </row>
    <row r="397" spans="8:15" ht="13" x14ac:dyDescent="0.15">
      <c r="H397" s="77"/>
      <c r="M397" s="165"/>
      <c r="O397" s="165"/>
    </row>
    <row r="398" spans="8:15" ht="13" x14ac:dyDescent="0.15">
      <c r="H398" s="77"/>
      <c r="M398" s="165"/>
      <c r="O398" s="165"/>
    </row>
    <row r="399" spans="8:15" ht="13" x14ac:dyDescent="0.15">
      <c r="H399" s="77"/>
      <c r="M399" s="165"/>
      <c r="O399" s="165"/>
    </row>
    <row r="400" spans="8:15" ht="13" x14ac:dyDescent="0.15">
      <c r="H400" s="77"/>
      <c r="M400" s="165"/>
      <c r="O400" s="165"/>
    </row>
    <row r="401" spans="8:15" ht="13" x14ac:dyDescent="0.15">
      <c r="H401" s="77"/>
      <c r="M401" s="165"/>
      <c r="O401" s="165"/>
    </row>
    <row r="402" spans="8:15" ht="13" x14ac:dyDescent="0.15">
      <c r="H402" s="77"/>
      <c r="M402" s="165"/>
      <c r="O402" s="165"/>
    </row>
    <row r="403" spans="8:15" ht="13" x14ac:dyDescent="0.15">
      <c r="H403" s="77"/>
      <c r="M403" s="165"/>
      <c r="O403" s="165"/>
    </row>
    <row r="404" spans="8:15" ht="13" x14ac:dyDescent="0.15">
      <c r="H404" s="77"/>
      <c r="M404" s="165"/>
      <c r="O404" s="165"/>
    </row>
    <row r="405" spans="8:15" ht="13" x14ac:dyDescent="0.15">
      <c r="H405" s="77"/>
      <c r="M405" s="165"/>
      <c r="O405" s="165"/>
    </row>
    <row r="406" spans="8:15" ht="13" x14ac:dyDescent="0.15">
      <c r="H406" s="77"/>
      <c r="M406" s="165"/>
      <c r="O406" s="165"/>
    </row>
    <row r="407" spans="8:15" ht="13" x14ac:dyDescent="0.15">
      <c r="H407" s="77"/>
      <c r="M407" s="165"/>
      <c r="O407" s="165"/>
    </row>
    <row r="408" spans="8:15" ht="13" x14ac:dyDescent="0.15">
      <c r="H408" s="77"/>
      <c r="M408" s="165"/>
      <c r="O408" s="165"/>
    </row>
    <row r="409" spans="8:15" ht="13" x14ac:dyDescent="0.15">
      <c r="H409" s="77"/>
      <c r="M409" s="165"/>
      <c r="O409" s="165"/>
    </row>
    <row r="410" spans="8:15" ht="13" x14ac:dyDescent="0.15">
      <c r="H410" s="77"/>
      <c r="M410" s="165"/>
      <c r="O410" s="165"/>
    </row>
    <row r="411" spans="8:15" ht="13" x14ac:dyDescent="0.15">
      <c r="H411" s="77"/>
      <c r="M411" s="165"/>
      <c r="O411" s="165"/>
    </row>
    <row r="412" spans="8:15" ht="13" x14ac:dyDescent="0.15">
      <c r="H412" s="77"/>
      <c r="M412" s="165"/>
      <c r="O412" s="165"/>
    </row>
    <row r="413" spans="8:15" ht="13" x14ac:dyDescent="0.15">
      <c r="H413" s="77"/>
      <c r="M413" s="165"/>
      <c r="O413" s="165"/>
    </row>
    <row r="414" spans="8:15" ht="13" x14ac:dyDescent="0.15">
      <c r="H414" s="77"/>
      <c r="M414" s="165"/>
      <c r="O414" s="165"/>
    </row>
    <row r="415" spans="8:15" ht="13" x14ac:dyDescent="0.15">
      <c r="H415" s="77"/>
      <c r="M415" s="165"/>
      <c r="O415" s="165"/>
    </row>
    <row r="416" spans="8:15" ht="13" x14ac:dyDescent="0.15">
      <c r="H416" s="77"/>
      <c r="M416" s="165"/>
      <c r="O416" s="165"/>
    </row>
    <row r="417" spans="8:15" ht="13" x14ac:dyDescent="0.15">
      <c r="H417" s="77"/>
      <c r="M417" s="165"/>
      <c r="O417" s="165"/>
    </row>
    <row r="418" spans="8:15" ht="13" x14ac:dyDescent="0.15">
      <c r="H418" s="77"/>
      <c r="M418" s="165"/>
      <c r="O418" s="165"/>
    </row>
    <row r="419" spans="8:15" ht="13" x14ac:dyDescent="0.15">
      <c r="H419" s="77"/>
      <c r="M419" s="165"/>
      <c r="O419" s="165"/>
    </row>
    <row r="420" spans="8:15" ht="13" x14ac:dyDescent="0.15">
      <c r="H420" s="77"/>
      <c r="M420" s="165"/>
      <c r="O420" s="165"/>
    </row>
    <row r="421" spans="8:15" ht="13" x14ac:dyDescent="0.15">
      <c r="H421" s="77"/>
      <c r="M421" s="165"/>
      <c r="O421" s="165"/>
    </row>
    <row r="422" spans="8:15" ht="13" x14ac:dyDescent="0.15">
      <c r="H422" s="77"/>
      <c r="M422" s="165"/>
      <c r="O422" s="165"/>
    </row>
    <row r="423" spans="8:15" ht="13" x14ac:dyDescent="0.15">
      <c r="H423" s="77"/>
      <c r="M423" s="165"/>
      <c r="O423" s="165"/>
    </row>
    <row r="424" spans="8:15" ht="13" x14ac:dyDescent="0.15">
      <c r="H424" s="77"/>
      <c r="M424" s="165"/>
      <c r="O424" s="165"/>
    </row>
    <row r="425" spans="8:15" ht="13" x14ac:dyDescent="0.15">
      <c r="H425" s="77"/>
      <c r="M425" s="165"/>
      <c r="O425" s="165"/>
    </row>
    <row r="426" spans="8:15" ht="13" x14ac:dyDescent="0.15">
      <c r="H426" s="77"/>
      <c r="M426" s="165"/>
      <c r="O426" s="165"/>
    </row>
    <row r="427" spans="8:15" ht="13" x14ac:dyDescent="0.15">
      <c r="H427" s="77"/>
      <c r="M427" s="165"/>
      <c r="O427" s="165"/>
    </row>
    <row r="428" spans="8:15" ht="13" x14ac:dyDescent="0.15">
      <c r="H428" s="77"/>
      <c r="M428" s="165"/>
      <c r="O428" s="165"/>
    </row>
    <row r="429" spans="8:15" ht="13" x14ac:dyDescent="0.15">
      <c r="H429" s="77"/>
      <c r="M429" s="165"/>
      <c r="O429" s="165"/>
    </row>
    <row r="430" spans="8:15" ht="13" x14ac:dyDescent="0.15">
      <c r="H430" s="77"/>
      <c r="M430" s="165"/>
      <c r="O430" s="165"/>
    </row>
    <row r="431" spans="8:15" ht="13" x14ac:dyDescent="0.15">
      <c r="H431" s="77"/>
      <c r="M431" s="165"/>
      <c r="O431" s="165"/>
    </row>
    <row r="432" spans="8:15" ht="13" x14ac:dyDescent="0.15">
      <c r="H432" s="77"/>
      <c r="M432" s="165"/>
      <c r="O432" s="165"/>
    </row>
    <row r="433" spans="8:15" ht="13" x14ac:dyDescent="0.15">
      <c r="H433" s="77"/>
      <c r="M433" s="165"/>
      <c r="O433" s="165"/>
    </row>
    <row r="434" spans="8:15" ht="13" x14ac:dyDescent="0.15">
      <c r="H434" s="77"/>
      <c r="M434" s="165"/>
      <c r="O434" s="165"/>
    </row>
    <row r="435" spans="8:15" ht="13" x14ac:dyDescent="0.15">
      <c r="H435" s="77"/>
      <c r="M435" s="165"/>
      <c r="O435" s="165"/>
    </row>
    <row r="436" spans="8:15" ht="13" x14ac:dyDescent="0.15">
      <c r="H436" s="77"/>
      <c r="M436" s="165"/>
      <c r="O436" s="165"/>
    </row>
    <row r="437" spans="8:15" ht="13" x14ac:dyDescent="0.15">
      <c r="H437" s="77"/>
      <c r="M437" s="165"/>
      <c r="O437" s="165"/>
    </row>
    <row r="438" spans="8:15" ht="13" x14ac:dyDescent="0.15">
      <c r="H438" s="77"/>
      <c r="M438" s="165"/>
      <c r="O438" s="165"/>
    </row>
    <row r="439" spans="8:15" ht="13" x14ac:dyDescent="0.15">
      <c r="H439" s="77"/>
      <c r="M439" s="165"/>
      <c r="O439" s="165"/>
    </row>
    <row r="440" spans="8:15" ht="13" x14ac:dyDescent="0.15">
      <c r="H440" s="77"/>
      <c r="M440" s="165"/>
      <c r="O440" s="165"/>
    </row>
    <row r="441" spans="8:15" ht="13" x14ac:dyDescent="0.15">
      <c r="H441" s="77"/>
      <c r="M441" s="165"/>
      <c r="O441" s="165"/>
    </row>
    <row r="442" spans="8:15" ht="13" x14ac:dyDescent="0.15">
      <c r="H442" s="77"/>
      <c r="M442" s="165"/>
      <c r="O442" s="165"/>
    </row>
    <row r="443" spans="8:15" ht="13" x14ac:dyDescent="0.15">
      <c r="H443" s="77"/>
      <c r="M443" s="165"/>
      <c r="O443" s="165"/>
    </row>
    <row r="444" spans="8:15" ht="13" x14ac:dyDescent="0.15">
      <c r="H444" s="77"/>
      <c r="M444" s="165"/>
      <c r="O444" s="165"/>
    </row>
    <row r="445" spans="8:15" ht="13" x14ac:dyDescent="0.15">
      <c r="H445" s="77"/>
      <c r="M445" s="165"/>
      <c r="O445" s="165"/>
    </row>
    <row r="446" spans="8:15" ht="13" x14ac:dyDescent="0.15">
      <c r="H446" s="77"/>
      <c r="M446" s="165"/>
      <c r="O446" s="165"/>
    </row>
    <row r="447" spans="8:15" ht="13" x14ac:dyDescent="0.15">
      <c r="H447" s="77"/>
      <c r="M447" s="165"/>
      <c r="O447" s="165"/>
    </row>
    <row r="448" spans="8:15" ht="13" x14ac:dyDescent="0.15">
      <c r="H448" s="77"/>
      <c r="M448" s="165"/>
      <c r="O448" s="165"/>
    </row>
    <row r="449" spans="8:15" ht="13" x14ac:dyDescent="0.15">
      <c r="H449" s="77"/>
      <c r="M449" s="165"/>
      <c r="O449" s="165"/>
    </row>
    <row r="450" spans="8:15" ht="13" x14ac:dyDescent="0.15">
      <c r="H450" s="77"/>
      <c r="M450" s="165"/>
      <c r="O450" s="165"/>
    </row>
    <row r="451" spans="8:15" ht="13" x14ac:dyDescent="0.15">
      <c r="H451" s="77"/>
      <c r="M451" s="165"/>
      <c r="O451" s="165"/>
    </row>
    <row r="452" spans="8:15" ht="13" x14ac:dyDescent="0.15">
      <c r="H452" s="77"/>
      <c r="M452" s="165"/>
      <c r="O452" s="165"/>
    </row>
    <row r="453" spans="8:15" ht="13" x14ac:dyDescent="0.15">
      <c r="H453" s="77"/>
      <c r="M453" s="165"/>
      <c r="O453" s="165"/>
    </row>
    <row r="454" spans="8:15" ht="13" x14ac:dyDescent="0.15">
      <c r="H454" s="77"/>
      <c r="M454" s="165"/>
      <c r="O454" s="165"/>
    </row>
    <row r="455" spans="8:15" ht="13" x14ac:dyDescent="0.15">
      <c r="H455" s="77"/>
      <c r="M455" s="165"/>
      <c r="O455" s="165"/>
    </row>
    <row r="456" spans="8:15" ht="13" x14ac:dyDescent="0.15">
      <c r="H456" s="77"/>
      <c r="M456" s="165"/>
      <c r="O456" s="165"/>
    </row>
    <row r="457" spans="8:15" ht="13" x14ac:dyDescent="0.15">
      <c r="H457" s="77"/>
      <c r="M457" s="165"/>
      <c r="O457" s="165"/>
    </row>
    <row r="458" spans="8:15" ht="13" x14ac:dyDescent="0.15">
      <c r="H458" s="77"/>
      <c r="M458" s="165"/>
      <c r="O458" s="165"/>
    </row>
    <row r="459" spans="8:15" ht="13" x14ac:dyDescent="0.15">
      <c r="H459" s="77"/>
      <c r="M459" s="165"/>
      <c r="O459" s="165"/>
    </row>
    <row r="460" spans="8:15" ht="13" x14ac:dyDescent="0.15">
      <c r="H460" s="77"/>
      <c r="M460" s="165"/>
      <c r="O460" s="165"/>
    </row>
    <row r="461" spans="8:15" ht="13" x14ac:dyDescent="0.15">
      <c r="H461" s="77"/>
      <c r="M461" s="165"/>
      <c r="O461" s="165"/>
    </row>
    <row r="462" spans="8:15" ht="13" x14ac:dyDescent="0.15">
      <c r="H462" s="77"/>
      <c r="M462" s="165"/>
      <c r="O462" s="165"/>
    </row>
    <row r="463" spans="8:15" ht="13" x14ac:dyDescent="0.15">
      <c r="H463" s="77"/>
      <c r="M463" s="165"/>
      <c r="O463" s="165"/>
    </row>
    <row r="464" spans="8:15" ht="13" x14ac:dyDescent="0.15">
      <c r="H464" s="77"/>
      <c r="M464" s="165"/>
      <c r="O464" s="165"/>
    </row>
    <row r="465" spans="8:15" ht="13" x14ac:dyDescent="0.15">
      <c r="H465" s="77"/>
      <c r="M465" s="165"/>
      <c r="O465" s="165"/>
    </row>
    <row r="466" spans="8:15" ht="13" x14ac:dyDescent="0.15">
      <c r="H466" s="77"/>
      <c r="M466" s="165"/>
      <c r="O466" s="165"/>
    </row>
    <row r="467" spans="8:15" ht="13" x14ac:dyDescent="0.15">
      <c r="H467" s="77"/>
      <c r="M467" s="165"/>
      <c r="O467" s="165"/>
    </row>
    <row r="468" spans="8:15" ht="13" x14ac:dyDescent="0.15">
      <c r="H468" s="77"/>
      <c r="M468" s="165"/>
      <c r="O468" s="165"/>
    </row>
    <row r="469" spans="8:15" ht="13" x14ac:dyDescent="0.15">
      <c r="H469" s="77"/>
      <c r="M469" s="165"/>
      <c r="O469" s="165"/>
    </row>
    <row r="470" spans="8:15" ht="13" x14ac:dyDescent="0.15">
      <c r="H470" s="77"/>
      <c r="M470" s="165"/>
      <c r="O470" s="165"/>
    </row>
    <row r="471" spans="8:15" ht="13" x14ac:dyDescent="0.15">
      <c r="H471" s="77"/>
      <c r="M471" s="165"/>
      <c r="O471" s="165"/>
    </row>
    <row r="472" spans="8:15" ht="13" x14ac:dyDescent="0.15">
      <c r="H472" s="77"/>
      <c r="M472" s="165"/>
      <c r="O472" s="165"/>
    </row>
    <row r="473" spans="8:15" ht="13" x14ac:dyDescent="0.15">
      <c r="H473" s="77"/>
      <c r="M473" s="165"/>
      <c r="O473" s="165"/>
    </row>
    <row r="474" spans="8:15" ht="13" x14ac:dyDescent="0.15">
      <c r="H474" s="77"/>
      <c r="M474" s="165"/>
      <c r="O474" s="165"/>
    </row>
    <row r="475" spans="8:15" ht="13" x14ac:dyDescent="0.15">
      <c r="H475" s="77"/>
      <c r="M475" s="165"/>
      <c r="O475" s="165"/>
    </row>
    <row r="476" spans="8:15" ht="13" x14ac:dyDescent="0.15">
      <c r="H476" s="77"/>
      <c r="M476" s="165"/>
      <c r="O476" s="165"/>
    </row>
    <row r="477" spans="8:15" ht="13" x14ac:dyDescent="0.15">
      <c r="H477" s="77"/>
      <c r="M477" s="165"/>
      <c r="O477" s="165"/>
    </row>
    <row r="478" spans="8:15" ht="13" x14ac:dyDescent="0.15">
      <c r="H478" s="77"/>
      <c r="M478" s="165"/>
      <c r="O478" s="165"/>
    </row>
    <row r="479" spans="8:15" ht="13" x14ac:dyDescent="0.15">
      <c r="H479" s="77"/>
      <c r="M479" s="165"/>
      <c r="O479" s="165"/>
    </row>
    <row r="480" spans="8:15" ht="13" x14ac:dyDescent="0.15">
      <c r="H480" s="77"/>
      <c r="M480" s="165"/>
      <c r="O480" s="165"/>
    </row>
    <row r="481" spans="8:15" ht="13" x14ac:dyDescent="0.15">
      <c r="H481" s="77"/>
      <c r="M481" s="165"/>
      <c r="O481" s="165"/>
    </row>
    <row r="482" spans="8:15" ht="13" x14ac:dyDescent="0.15">
      <c r="H482" s="77"/>
      <c r="M482" s="165"/>
      <c r="O482" s="165"/>
    </row>
    <row r="483" spans="8:15" ht="13" x14ac:dyDescent="0.15">
      <c r="H483" s="77"/>
      <c r="M483" s="165"/>
      <c r="O483" s="165"/>
    </row>
    <row r="484" spans="8:15" ht="13" x14ac:dyDescent="0.15">
      <c r="H484" s="77"/>
      <c r="M484" s="165"/>
      <c r="O484" s="165"/>
    </row>
    <row r="485" spans="8:15" ht="13" x14ac:dyDescent="0.15">
      <c r="H485" s="77"/>
      <c r="M485" s="165"/>
      <c r="O485" s="165"/>
    </row>
    <row r="486" spans="8:15" ht="13" x14ac:dyDescent="0.15">
      <c r="H486" s="77"/>
      <c r="M486" s="165"/>
      <c r="O486" s="165"/>
    </row>
    <row r="487" spans="8:15" ht="13" x14ac:dyDescent="0.15">
      <c r="H487" s="77"/>
      <c r="M487" s="165"/>
      <c r="O487" s="165"/>
    </row>
    <row r="488" spans="8:15" ht="13" x14ac:dyDescent="0.15">
      <c r="H488" s="77"/>
      <c r="M488" s="165"/>
      <c r="O488" s="165"/>
    </row>
    <row r="489" spans="8:15" ht="13" x14ac:dyDescent="0.15">
      <c r="H489" s="77"/>
      <c r="M489" s="165"/>
      <c r="O489" s="165"/>
    </row>
    <row r="490" spans="8:15" ht="13" x14ac:dyDescent="0.15">
      <c r="H490" s="77"/>
      <c r="M490" s="165"/>
      <c r="O490" s="165"/>
    </row>
    <row r="491" spans="8:15" ht="13" x14ac:dyDescent="0.15">
      <c r="H491" s="77"/>
      <c r="M491" s="165"/>
      <c r="O491" s="165"/>
    </row>
    <row r="492" spans="8:15" ht="13" x14ac:dyDescent="0.15">
      <c r="H492" s="77"/>
      <c r="M492" s="165"/>
      <c r="O492" s="165"/>
    </row>
    <row r="493" spans="8:15" ht="13" x14ac:dyDescent="0.15">
      <c r="H493" s="77"/>
      <c r="M493" s="165"/>
      <c r="O493" s="165"/>
    </row>
    <row r="494" spans="8:15" ht="13" x14ac:dyDescent="0.15">
      <c r="H494" s="77"/>
      <c r="M494" s="165"/>
      <c r="O494" s="165"/>
    </row>
    <row r="495" spans="8:15" ht="13" x14ac:dyDescent="0.15">
      <c r="H495" s="77"/>
      <c r="M495" s="165"/>
      <c r="O495" s="165"/>
    </row>
    <row r="496" spans="8:15" ht="13" x14ac:dyDescent="0.15">
      <c r="H496" s="77"/>
      <c r="M496" s="165"/>
      <c r="O496" s="165"/>
    </row>
    <row r="497" spans="8:15" ht="13" x14ac:dyDescent="0.15">
      <c r="H497" s="77"/>
      <c r="M497" s="165"/>
      <c r="O497" s="165"/>
    </row>
    <row r="498" spans="8:15" ht="13" x14ac:dyDescent="0.15">
      <c r="H498" s="77"/>
      <c r="M498" s="165"/>
      <c r="O498" s="165"/>
    </row>
    <row r="499" spans="8:15" ht="13" x14ac:dyDescent="0.15">
      <c r="H499" s="77"/>
      <c r="M499" s="165"/>
      <c r="O499" s="165"/>
    </row>
    <row r="500" spans="8:15" ht="13" x14ac:dyDescent="0.15">
      <c r="H500" s="77"/>
      <c r="M500" s="165"/>
      <c r="O500" s="165"/>
    </row>
    <row r="501" spans="8:15" ht="13" x14ac:dyDescent="0.15">
      <c r="H501" s="77"/>
      <c r="M501" s="165"/>
      <c r="O501" s="165"/>
    </row>
    <row r="502" spans="8:15" ht="13" x14ac:dyDescent="0.15">
      <c r="H502" s="77"/>
      <c r="M502" s="165"/>
      <c r="O502" s="165"/>
    </row>
    <row r="503" spans="8:15" ht="13" x14ac:dyDescent="0.15">
      <c r="H503" s="77"/>
      <c r="M503" s="165"/>
      <c r="O503" s="165"/>
    </row>
    <row r="504" spans="8:15" ht="13" x14ac:dyDescent="0.15">
      <c r="H504" s="77"/>
      <c r="M504" s="165"/>
      <c r="O504" s="165"/>
    </row>
    <row r="505" spans="8:15" ht="13" x14ac:dyDescent="0.15">
      <c r="H505" s="77"/>
      <c r="M505" s="165"/>
      <c r="O505" s="165"/>
    </row>
    <row r="506" spans="8:15" ht="13" x14ac:dyDescent="0.15">
      <c r="H506" s="77"/>
      <c r="M506" s="165"/>
      <c r="O506" s="165"/>
    </row>
    <row r="507" spans="8:15" ht="13" x14ac:dyDescent="0.15">
      <c r="H507" s="77"/>
      <c r="M507" s="165"/>
      <c r="O507" s="165"/>
    </row>
    <row r="508" spans="8:15" ht="13" x14ac:dyDescent="0.15">
      <c r="H508" s="77"/>
      <c r="M508" s="165"/>
      <c r="O508" s="165"/>
    </row>
    <row r="509" spans="8:15" ht="13" x14ac:dyDescent="0.15">
      <c r="H509" s="77"/>
      <c r="M509" s="165"/>
      <c r="O509" s="165"/>
    </row>
    <row r="510" spans="8:15" ht="13" x14ac:dyDescent="0.15">
      <c r="H510" s="77"/>
      <c r="M510" s="165"/>
      <c r="O510" s="165"/>
    </row>
    <row r="511" spans="8:15" ht="13" x14ac:dyDescent="0.15">
      <c r="H511" s="77"/>
      <c r="M511" s="165"/>
      <c r="O511" s="165"/>
    </row>
    <row r="512" spans="8:15" ht="13" x14ac:dyDescent="0.15">
      <c r="H512" s="77"/>
      <c r="M512" s="165"/>
      <c r="O512" s="165"/>
    </row>
    <row r="513" spans="8:15" ht="13" x14ac:dyDescent="0.15">
      <c r="H513" s="77"/>
      <c r="M513" s="165"/>
      <c r="O513" s="165"/>
    </row>
    <row r="514" spans="8:15" ht="13" x14ac:dyDescent="0.15">
      <c r="H514" s="77"/>
      <c r="M514" s="165"/>
      <c r="O514" s="165"/>
    </row>
    <row r="515" spans="8:15" ht="13" x14ac:dyDescent="0.15">
      <c r="H515" s="77"/>
      <c r="M515" s="165"/>
      <c r="O515" s="165"/>
    </row>
    <row r="516" spans="8:15" ht="13" x14ac:dyDescent="0.15">
      <c r="H516" s="77"/>
      <c r="M516" s="165"/>
      <c r="O516" s="165"/>
    </row>
    <row r="517" spans="8:15" ht="13" x14ac:dyDescent="0.15">
      <c r="H517" s="77"/>
      <c r="M517" s="165"/>
      <c r="O517" s="165"/>
    </row>
    <row r="518" spans="8:15" ht="13" x14ac:dyDescent="0.15">
      <c r="H518" s="77"/>
      <c r="M518" s="165"/>
      <c r="O518" s="165"/>
    </row>
    <row r="519" spans="8:15" ht="13" x14ac:dyDescent="0.15">
      <c r="H519" s="77"/>
      <c r="M519" s="165"/>
      <c r="O519" s="165"/>
    </row>
    <row r="520" spans="8:15" ht="13" x14ac:dyDescent="0.15">
      <c r="H520" s="77"/>
      <c r="M520" s="165"/>
      <c r="O520" s="165"/>
    </row>
    <row r="521" spans="8:15" ht="13" x14ac:dyDescent="0.15">
      <c r="H521" s="77"/>
      <c r="M521" s="165"/>
      <c r="O521" s="165"/>
    </row>
    <row r="522" spans="8:15" ht="13" x14ac:dyDescent="0.15">
      <c r="H522" s="77"/>
      <c r="M522" s="165"/>
      <c r="O522" s="165"/>
    </row>
    <row r="523" spans="8:15" ht="13" x14ac:dyDescent="0.15">
      <c r="H523" s="77"/>
      <c r="M523" s="165"/>
      <c r="O523" s="165"/>
    </row>
    <row r="524" spans="8:15" ht="13" x14ac:dyDescent="0.15">
      <c r="H524" s="77"/>
      <c r="M524" s="165"/>
      <c r="O524" s="165"/>
    </row>
    <row r="525" spans="8:15" ht="13" x14ac:dyDescent="0.15">
      <c r="H525" s="77"/>
      <c r="M525" s="165"/>
      <c r="O525" s="165"/>
    </row>
    <row r="526" spans="8:15" ht="13" x14ac:dyDescent="0.15">
      <c r="H526" s="77"/>
      <c r="M526" s="165"/>
      <c r="O526" s="165"/>
    </row>
    <row r="527" spans="8:15" ht="13" x14ac:dyDescent="0.15">
      <c r="H527" s="77"/>
      <c r="M527" s="165"/>
      <c r="O527" s="165"/>
    </row>
    <row r="528" spans="8:15" ht="13" x14ac:dyDescent="0.15">
      <c r="H528" s="77"/>
      <c r="M528" s="165"/>
      <c r="O528" s="165"/>
    </row>
    <row r="529" spans="8:15" ht="13" x14ac:dyDescent="0.15">
      <c r="H529" s="77"/>
      <c r="M529" s="165"/>
      <c r="O529" s="165"/>
    </row>
    <row r="530" spans="8:15" ht="13" x14ac:dyDescent="0.15">
      <c r="H530" s="77"/>
      <c r="M530" s="165"/>
      <c r="O530" s="165"/>
    </row>
    <row r="531" spans="8:15" ht="13" x14ac:dyDescent="0.15">
      <c r="H531" s="77"/>
      <c r="M531" s="165"/>
      <c r="O531" s="165"/>
    </row>
    <row r="532" spans="8:15" ht="13" x14ac:dyDescent="0.15">
      <c r="H532" s="77"/>
      <c r="M532" s="165"/>
      <c r="O532" s="165"/>
    </row>
    <row r="533" spans="8:15" ht="13" x14ac:dyDescent="0.15">
      <c r="H533" s="77"/>
      <c r="M533" s="165"/>
      <c r="O533" s="165"/>
    </row>
    <row r="534" spans="8:15" ht="13" x14ac:dyDescent="0.15">
      <c r="H534" s="77"/>
      <c r="M534" s="165"/>
      <c r="O534" s="165"/>
    </row>
    <row r="535" spans="8:15" ht="13" x14ac:dyDescent="0.15">
      <c r="H535" s="77"/>
      <c r="M535" s="165"/>
      <c r="O535" s="165"/>
    </row>
    <row r="536" spans="8:15" ht="13" x14ac:dyDescent="0.15">
      <c r="H536" s="77"/>
      <c r="M536" s="165"/>
      <c r="O536" s="165"/>
    </row>
    <row r="537" spans="8:15" ht="13" x14ac:dyDescent="0.15">
      <c r="H537" s="77"/>
      <c r="M537" s="165"/>
      <c r="O537" s="165"/>
    </row>
    <row r="538" spans="8:15" ht="13" x14ac:dyDescent="0.15">
      <c r="H538" s="77"/>
      <c r="M538" s="165"/>
      <c r="O538" s="165"/>
    </row>
    <row r="539" spans="8:15" ht="13" x14ac:dyDescent="0.15">
      <c r="H539" s="77"/>
      <c r="M539" s="165"/>
      <c r="O539" s="165"/>
    </row>
    <row r="540" spans="8:15" ht="13" x14ac:dyDescent="0.15">
      <c r="H540" s="77"/>
      <c r="M540" s="165"/>
      <c r="O540" s="165"/>
    </row>
    <row r="541" spans="8:15" ht="13" x14ac:dyDescent="0.15">
      <c r="H541" s="77"/>
      <c r="M541" s="165"/>
      <c r="O541" s="165"/>
    </row>
    <row r="542" spans="8:15" ht="13" x14ac:dyDescent="0.15">
      <c r="H542" s="77"/>
      <c r="M542" s="165"/>
      <c r="O542" s="165"/>
    </row>
    <row r="543" spans="8:15" ht="13" x14ac:dyDescent="0.15">
      <c r="H543" s="77"/>
      <c r="M543" s="165"/>
      <c r="O543" s="165"/>
    </row>
    <row r="544" spans="8:15" ht="13" x14ac:dyDescent="0.15">
      <c r="H544" s="77"/>
      <c r="M544" s="165"/>
      <c r="O544" s="165"/>
    </row>
    <row r="545" spans="8:15" ht="13" x14ac:dyDescent="0.15">
      <c r="H545" s="77"/>
      <c r="M545" s="165"/>
      <c r="O545" s="165"/>
    </row>
    <row r="546" spans="8:15" ht="13" x14ac:dyDescent="0.15">
      <c r="H546" s="77"/>
      <c r="M546" s="165"/>
      <c r="O546" s="165"/>
    </row>
    <row r="547" spans="8:15" ht="13" x14ac:dyDescent="0.15">
      <c r="H547" s="77"/>
      <c r="M547" s="165"/>
      <c r="O547" s="165"/>
    </row>
    <row r="548" spans="8:15" ht="13" x14ac:dyDescent="0.15">
      <c r="H548" s="77"/>
      <c r="M548" s="165"/>
      <c r="O548" s="165"/>
    </row>
    <row r="549" spans="8:15" ht="13" x14ac:dyDescent="0.15">
      <c r="H549" s="77"/>
      <c r="M549" s="165"/>
      <c r="O549" s="165"/>
    </row>
    <row r="550" spans="8:15" ht="13" x14ac:dyDescent="0.15">
      <c r="H550" s="77"/>
      <c r="M550" s="165"/>
      <c r="O550" s="165"/>
    </row>
    <row r="551" spans="8:15" ht="13" x14ac:dyDescent="0.15">
      <c r="H551" s="77"/>
      <c r="M551" s="165"/>
      <c r="O551" s="165"/>
    </row>
    <row r="552" spans="8:15" ht="13" x14ac:dyDescent="0.15">
      <c r="H552" s="77"/>
      <c r="M552" s="165"/>
      <c r="O552" s="165"/>
    </row>
    <row r="553" spans="8:15" ht="13" x14ac:dyDescent="0.15">
      <c r="H553" s="77"/>
      <c r="M553" s="165"/>
      <c r="O553" s="165"/>
    </row>
    <row r="554" spans="8:15" ht="13" x14ac:dyDescent="0.15">
      <c r="H554" s="77"/>
      <c r="M554" s="165"/>
      <c r="O554" s="165"/>
    </row>
    <row r="555" spans="8:15" ht="13" x14ac:dyDescent="0.15">
      <c r="H555" s="77"/>
      <c r="M555" s="165"/>
      <c r="O555" s="165"/>
    </row>
    <row r="556" spans="8:15" ht="13" x14ac:dyDescent="0.15">
      <c r="H556" s="77"/>
      <c r="M556" s="165"/>
      <c r="O556" s="165"/>
    </row>
    <row r="557" spans="8:15" ht="13" x14ac:dyDescent="0.15">
      <c r="H557" s="77"/>
      <c r="M557" s="165"/>
      <c r="O557" s="165"/>
    </row>
    <row r="558" spans="8:15" ht="13" x14ac:dyDescent="0.15">
      <c r="H558" s="77"/>
      <c r="M558" s="165"/>
      <c r="O558" s="165"/>
    </row>
    <row r="559" spans="8:15" ht="13" x14ac:dyDescent="0.15">
      <c r="H559" s="77"/>
      <c r="M559" s="165"/>
      <c r="O559" s="165"/>
    </row>
    <row r="560" spans="8:15" ht="13" x14ac:dyDescent="0.15">
      <c r="H560" s="77"/>
      <c r="M560" s="165"/>
      <c r="O560" s="165"/>
    </row>
    <row r="561" spans="8:15" ht="13" x14ac:dyDescent="0.15">
      <c r="H561" s="77"/>
      <c r="M561" s="165"/>
      <c r="O561" s="165"/>
    </row>
    <row r="562" spans="8:15" ht="13" x14ac:dyDescent="0.15">
      <c r="H562" s="77"/>
      <c r="M562" s="165"/>
      <c r="O562" s="165"/>
    </row>
    <row r="563" spans="8:15" ht="13" x14ac:dyDescent="0.15">
      <c r="H563" s="77"/>
      <c r="M563" s="165"/>
      <c r="O563" s="165"/>
    </row>
    <row r="564" spans="8:15" ht="13" x14ac:dyDescent="0.15">
      <c r="H564" s="77"/>
      <c r="M564" s="165"/>
      <c r="O564" s="165"/>
    </row>
    <row r="565" spans="8:15" ht="13" x14ac:dyDescent="0.15">
      <c r="H565" s="77"/>
      <c r="M565" s="165"/>
      <c r="O565" s="165"/>
    </row>
    <row r="566" spans="8:15" ht="13" x14ac:dyDescent="0.15">
      <c r="H566" s="77"/>
      <c r="M566" s="165"/>
      <c r="O566" s="165"/>
    </row>
    <row r="567" spans="8:15" ht="13" x14ac:dyDescent="0.15">
      <c r="H567" s="77"/>
      <c r="M567" s="165"/>
      <c r="O567" s="165"/>
    </row>
    <row r="568" spans="8:15" ht="13" x14ac:dyDescent="0.15">
      <c r="H568" s="77"/>
      <c r="M568" s="165"/>
      <c r="O568" s="165"/>
    </row>
    <row r="569" spans="8:15" ht="13" x14ac:dyDescent="0.15">
      <c r="H569" s="77"/>
      <c r="M569" s="165"/>
      <c r="O569" s="165"/>
    </row>
    <row r="570" spans="8:15" ht="13" x14ac:dyDescent="0.15">
      <c r="H570" s="77"/>
      <c r="M570" s="165"/>
      <c r="O570" s="165"/>
    </row>
    <row r="571" spans="8:15" ht="13" x14ac:dyDescent="0.15">
      <c r="H571" s="77"/>
      <c r="M571" s="165"/>
      <c r="O571" s="165"/>
    </row>
    <row r="572" spans="8:15" ht="13" x14ac:dyDescent="0.15">
      <c r="H572" s="77"/>
      <c r="M572" s="165"/>
      <c r="O572" s="165"/>
    </row>
    <row r="573" spans="8:15" ht="13" x14ac:dyDescent="0.15">
      <c r="H573" s="77"/>
      <c r="M573" s="165"/>
      <c r="O573" s="165"/>
    </row>
    <row r="574" spans="8:15" ht="13" x14ac:dyDescent="0.15">
      <c r="H574" s="77"/>
      <c r="M574" s="165"/>
      <c r="O574" s="165"/>
    </row>
    <row r="575" spans="8:15" ht="13" x14ac:dyDescent="0.15">
      <c r="H575" s="77"/>
      <c r="M575" s="165"/>
      <c r="O575" s="165"/>
    </row>
    <row r="576" spans="8:15" ht="13" x14ac:dyDescent="0.15">
      <c r="H576" s="77"/>
      <c r="M576" s="165"/>
      <c r="O576" s="165"/>
    </row>
    <row r="577" spans="8:15" ht="13" x14ac:dyDescent="0.15">
      <c r="H577" s="77"/>
      <c r="M577" s="165"/>
      <c r="O577" s="165"/>
    </row>
    <row r="578" spans="8:15" ht="13" x14ac:dyDescent="0.15">
      <c r="H578" s="77"/>
      <c r="M578" s="165"/>
      <c r="O578" s="165"/>
    </row>
    <row r="579" spans="8:15" ht="13" x14ac:dyDescent="0.15">
      <c r="H579" s="77"/>
      <c r="M579" s="165"/>
      <c r="O579" s="165"/>
    </row>
    <row r="580" spans="8:15" ht="13" x14ac:dyDescent="0.15">
      <c r="H580" s="77"/>
      <c r="M580" s="165"/>
      <c r="O580" s="165"/>
    </row>
    <row r="581" spans="8:15" ht="13" x14ac:dyDescent="0.15">
      <c r="H581" s="77"/>
      <c r="M581" s="165"/>
      <c r="O581" s="165"/>
    </row>
    <row r="582" spans="8:15" ht="13" x14ac:dyDescent="0.15">
      <c r="H582" s="77"/>
      <c r="M582" s="165"/>
      <c r="O582" s="165"/>
    </row>
    <row r="583" spans="8:15" ht="13" x14ac:dyDescent="0.15">
      <c r="H583" s="77"/>
      <c r="M583" s="165"/>
      <c r="O583" s="165"/>
    </row>
    <row r="584" spans="8:15" ht="13" x14ac:dyDescent="0.15">
      <c r="H584" s="77"/>
      <c r="M584" s="165"/>
      <c r="O584" s="165"/>
    </row>
    <row r="585" spans="8:15" ht="13" x14ac:dyDescent="0.15">
      <c r="H585" s="77"/>
      <c r="M585" s="165"/>
      <c r="O585" s="165"/>
    </row>
    <row r="586" spans="8:15" ht="13" x14ac:dyDescent="0.15">
      <c r="H586" s="77"/>
      <c r="M586" s="165"/>
      <c r="O586" s="165"/>
    </row>
    <row r="587" spans="8:15" ht="13" x14ac:dyDescent="0.15">
      <c r="H587" s="77"/>
      <c r="M587" s="165"/>
      <c r="O587" s="165"/>
    </row>
    <row r="588" spans="8:15" ht="13" x14ac:dyDescent="0.15">
      <c r="H588" s="77"/>
      <c r="M588" s="165"/>
      <c r="O588" s="165"/>
    </row>
    <row r="589" spans="8:15" ht="13" x14ac:dyDescent="0.15">
      <c r="H589" s="77"/>
      <c r="M589" s="165"/>
      <c r="O589" s="165"/>
    </row>
    <row r="590" spans="8:15" ht="13" x14ac:dyDescent="0.15">
      <c r="H590" s="77"/>
      <c r="M590" s="165"/>
      <c r="O590" s="165"/>
    </row>
    <row r="591" spans="8:15" ht="13" x14ac:dyDescent="0.15">
      <c r="H591" s="77"/>
      <c r="M591" s="165"/>
      <c r="O591" s="165"/>
    </row>
    <row r="592" spans="8:15" ht="13" x14ac:dyDescent="0.15">
      <c r="H592" s="77"/>
      <c r="M592" s="165"/>
      <c r="O592" s="165"/>
    </row>
    <row r="593" spans="8:15" ht="13" x14ac:dyDescent="0.15">
      <c r="H593" s="77"/>
      <c r="M593" s="165"/>
      <c r="O593" s="165"/>
    </row>
    <row r="594" spans="8:15" ht="13" x14ac:dyDescent="0.15">
      <c r="H594" s="77"/>
      <c r="M594" s="165"/>
      <c r="O594" s="165"/>
    </row>
    <row r="595" spans="8:15" ht="13" x14ac:dyDescent="0.15">
      <c r="H595" s="77"/>
      <c r="M595" s="165"/>
      <c r="O595" s="165"/>
    </row>
    <row r="596" spans="8:15" ht="13" x14ac:dyDescent="0.15">
      <c r="H596" s="77"/>
      <c r="M596" s="165"/>
      <c r="O596" s="165"/>
    </row>
    <row r="597" spans="8:15" ht="13" x14ac:dyDescent="0.15">
      <c r="H597" s="77"/>
      <c r="M597" s="165"/>
      <c r="O597" s="165"/>
    </row>
    <row r="598" spans="8:15" ht="13" x14ac:dyDescent="0.15">
      <c r="H598" s="77"/>
      <c r="M598" s="165"/>
      <c r="O598" s="165"/>
    </row>
    <row r="599" spans="8:15" ht="13" x14ac:dyDescent="0.15">
      <c r="H599" s="77"/>
      <c r="M599" s="165"/>
      <c r="O599" s="165"/>
    </row>
    <row r="600" spans="8:15" ht="13" x14ac:dyDescent="0.15">
      <c r="H600" s="77"/>
      <c r="M600" s="165"/>
      <c r="O600" s="165"/>
    </row>
    <row r="601" spans="8:15" ht="13" x14ac:dyDescent="0.15">
      <c r="H601" s="77"/>
      <c r="M601" s="165"/>
      <c r="O601" s="165"/>
    </row>
    <row r="602" spans="8:15" ht="13" x14ac:dyDescent="0.15">
      <c r="H602" s="77"/>
      <c r="M602" s="165"/>
      <c r="O602" s="165"/>
    </row>
    <row r="603" spans="8:15" ht="13" x14ac:dyDescent="0.15">
      <c r="H603" s="77"/>
      <c r="M603" s="165"/>
      <c r="O603" s="165"/>
    </row>
    <row r="604" spans="8:15" ht="13" x14ac:dyDescent="0.15">
      <c r="H604" s="77"/>
      <c r="M604" s="165"/>
      <c r="O604" s="165"/>
    </row>
    <row r="605" spans="8:15" ht="13" x14ac:dyDescent="0.15">
      <c r="H605" s="77"/>
      <c r="M605" s="165"/>
      <c r="O605" s="165"/>
    </row>
    <row r="606" spans="8:15" ht="13" x14ac:dyDescent="0.15">
      <c r="H606" s="77"/>
      <c r="M606" s="165"/>
      <c r="O606" s="165"/>
    </row>
    <row r="607" spans="8:15" ht="13" x14ac:dyDescent="0.15">
      <c r="H607" s="77"/>
      <c r="M607" s="165"/>
      <c r="O607" s="165"/>
    </row>
    <row r="608" spans="8:15" ht="13" x14ac:dyDescent="0.15">
      <c r="H608" s="77"/>
      <c r="M608" s="165"/>
      <c r="O608" s="165"/>
    </row>
    <row r="609" spans="8:15" ht="13" x14ac:dyDescent="0.15">
      <c r="H609" s="77"/>
      <c r="M609" s="165"/>
      <c r="O609" s="165"/>
    </row>
    <row r="610" spans="8:15" ht="13" x14ac:dyDescent="0.15">
      <c r="H610" s="77"/>
      <c r="M610" s="165"/>
      <c r="O610" s="165"/>
    </row>
    <row r="611" spans="8:15" ht="13" x14ac:dyDescent="0.15">
      <c r="H611" s="77"/>
      <c r="M611" s="165"/>
      <c r="O611" s="165"/>
    </row>
    <row r="612" spans="8:15" ht="13" x14ac:dyDescent="0.15">
      <c r="H612" s="77"/>
      <c r="M612" s="165"/>
      <c r="O612" s="165"/>
    </row>
    <row r="613" spans="8:15" ht="13" x14ac:dyDescent="0.15">
      <c r="H613" s="77"/>
      <c r="M613" s="165"/>
      <c r="O613" s="165"/>
    </row>
    <row r="614" spans="8:15" ht="13" x14ac:dyDescent="0.15">
      <c r="H614" s="77"/>
      <c r="M614" s="165"/>
      <c r="O614" s="165"/>
    </row>
    <row r="615" spans="8:15" ht="13" x14ac:dyDescent="0.15">
      <c r="H615" s="77"/>
      <c r="M615" s="165"/>
      <c r="O615" s="165"/>
    </row>
    <row r="616" spans="8:15" ht="13" x14ac:dyDescent="0.15">
      <c r="H616" s="77"/>
      <c r="M616" s="165"/>
      <c r="O616" s="165"/>
    </row>
    <row r="617" spans="8:15" ht="13" x14ac:dyDescent="0.15">
      <c r="H617" s="77"/>
      <c r="M617" s="165"/>
      <c r="O617" s="165"/>
    </row>
    <row r="618" spans="8:15" ht="13" x14ac:dyDescent="0.15">
      <c r="H618" s="77"/>
      <c r="M618" s="165"/>
      <c r="O618" s="165"/>
    </row>
    <row r="619" spans="8:15" ht="13" x14ac:dyDescent="0.15">
      <c r="H619" s="77"/>
      <c r="M619" s="165"/>
      <c r="O619" s="165"/>
    </row>
    <row r="620" spans="8:15" ht="13" x14ac:dyDescent="0.15">
      <c r="H620" s="77"/>
      <c r="M620" s="165"/>
      <c r="O620" s="165"/>
    </row>
    <row r="621" spans="8:15" ht="13" x14ac:dyDescent="0.15">
      <c r="H621" s="77"/>
      <c r="M621" s="165"/>
      <c r="O621" s="165"/>
    </row>
    <row r="622" spans="8:15" ht="13" x14ac:dyDescent="0.15">
      <c r="H622" s="77"/>
      <c r="M622" s="165"/>
      <c r="O622" s="165"/>
    </row>
    <row r="623" spans="8:15" ht="13" x14ac:dyDescent="0.15">
      <c r="H623" s="77"/>
      <c r="M623" s="165"/>
      <c r="O623" s="165"/>
    </row>
    <row r="624" spans="8:15" ht="13" x14ac:dyDescent="0.15">
      <c r="H624" s="77"/>
      <c r="M624" s="165"/>
      <c r="O624" s="165"/>
    </row>
    <row r="625" spans="8:15" ht="13" x14ac:dyDescent="0.15">
      <c r="H625" s="77"/>
      <c r="M625" s="165"/>
      <c r="O625" s="165"/>
    </row>
    <row r="626" spans="8:15" ht="13" x14ac:dyDescent="0.15">
      <c r="H626" s="77"/>
      <c r="M626" s="165"/>
      <c r="O626" s="165"/>
    </row>
    <row r="627" spans="8:15" ht="13" x14ac:dyDescent="0.15">
      <c r="H627" s="77"/>
      <c r="M627" s="165"/>
      <c r="O627" s="165"/>
    </row>
    <row r="628" spans="8:15" ht="13" x14ac:dyDescent="0.15">
      <c r="H628" s="77"/>
      <c r="M628" s="165"/>
      <c r="O628" s="165"/>
    </row>
    <row r="629" spans="8:15" ht="13" x14ac:dyDescent="0.15">
      <c r="H629" s="77"/>
      <c r="M629" s="165"/>
      <c r="O629" s="165"/>
    </row>
    <row r="630" spans="8:15" ht="13" x14ac:dyDescent="0.15">
      <c r="H630" s="77"/>
      <c r="M630" s="165"/>
      <c r="O630" s="165"/>
    </row>
    <row r="631" spans="8:15" ht="13" x14ac:dyDescent="0.15">
      <c r="H631" s="77"/>
      <c r="M631" s="165"/>
      <c r="O631" s="165"/>
    </row>
    <row r="632" spans="8:15" ht="13" x14ac:dyDescent="0.15">
      <c r="H632" s="77"/>
      <c r="M632" s="165"/>
      <c r="O632" s="165"/>
    </row>
    <row r="633" spans="8:15" ht="13" x14ac:dyDescent="0.15">
      <c r="H633" s="77"/>
      <c r="M633" s="165"/>
      <c r="O633" s="165"/>
    </row>
    <row r="634" spans="8:15" ht="13" x14ac:dyDescent="0.15">
      <c r="H634" s="77"/>
      <c r="M634" s="165"/>
      <c r="O634" s="165"/>
    </row>
    <row r="635" spans="8:15" ht="13" x14ac:dyDescent="0.15">
      <c r="H635" s="77"/>
      <c r="M635" s="165"/>
      <c r="O635" s="165"/>
    </row>
    <row r="636" spans="8:15" ht="13" x14ac:dyDescent="0.15">
      <c r="H636" s="77"/>
      <c r="M636" s="165"/>
      <c r="O636" s="165"/>
    </row>
    <row r="637" spans="8:15" ht="13" x14ac:dyDescent="0.15">
      <c r="H637" s="77"/>
      <c r="M637" s="165"/>
      <c r="O637" s="165"/>
    </row>
    <row r="638" spans="8:15" ht="13" x14ac:dyDescent="0.15">
      <c r="H638" s="77"/>
      <c r="M638" s="165"/>
      <c r="O638" s="165"/>
    </row>
    <row r="639" spans="8:15" ht="13" x14ac:dyDescent="0.15">
      <c r="H639" s="77"/>
      <c r="M639" s="165"/>
      <c r="O639" s="165"/>
    </row>
    <row r="640" spans="8:15" ht="13" x14ac:dyDescent="0.15">
      <c r="H640" s="77"/>
      <c r="M640" s="165"/>
      <c r="O640" s="165"/>
    </row>
    <row r="641" spans="8:15" ht="13" x14ac:dyDescent="0.15">
      <c r="H641" s="77"/>
      <c r="M641" s="165"/>
      <c r="O641" s="165"/>
    </row>
    <row r="642" spans="8:15" ht="13" x14ac:dyDescent="0.15">
      <c r="H642" s="77"/>
      <c r="M642" s="165"/>
      <c r="O642" s="165"/>
    </row>
    <row r="643" spans="8:15" ht="13" x14ac:dyDescent="0.15">
      <c r="H643" s="77"/>
      <c r="M643" s="165"/>
      <c r="O643" s="165"/>
    </row>
    <row r="644" spans="8:15" ht="13" x14ac:dyDescent="0.15">
      <c r="H644" s="77"/>
      <c r="M644" s="165"/>
      <c r="O644" s="165"/>
    </row>
    <row r="645" spans="8:15" ht="13" x14ac:dyDescent="0.15">
      <c r="H645" s="77"/>
      <c r="M645" s="165"/>
      <c r="O645" s="165"/>
    </row>
    <row r="646" spans="8:15" ht="13" x14ac:dyDescent="0.15">
      <c r="H646" s="77"/>
      <c r="M646" s="165"/>
      <c r="O646" s="165"/>
    </row>
    <row r="647" spans="8:15" ht="13" x14ac:dyDescent="0.15">
      <c r="H647" s="77"/>
      <c r="M647" s="165"/>
      <c r="O647" s="165"/>
    </row>
    <row r="648" spans="8:15" ht="13" x14ac:dyDescent="0.15">
      <c r="H648" s="77"/>
      <c r="M648" s="165"/>
      <c r="O648" s="165"/>
    </row>
    <row r="649" spans="8:15" ht="13" x14ac:dyDescent="0.15">
      <c r="H649" s="77"/>
      <c r="M649" s="165"/>
      <c r="O649" s="165"/>
    </row>
    <row r="650" spans="8:15" ht="13" x14ac:dyDescent="0.15">
      <c r="H650" s="77"/>
      <c r="M650" s="165"/>
      <c r="O650" s="165"/>
    </row>
    <row r="651" spans="8:15" ht="13" x14ac:dyDescent="0.15">
      <c r="H651" s="77"/>
      <c r="M651" s="165"/>
      <c r="O651" s="165"/>
    </row>
    <row r="652" spans="8:15" ht="13" x14ac:dyDescent="0.15">
      <c r="H652" s="77"/>
      <c r="M652" s="165"/>
      <c r="O652" s="165"/>
    </row>
    <row r="653" spans="8:15" ht="13" x14ac:dyDescent="0.15">
      <c r="H653" s="77"/>
      <c r="M653" s="165"/>
      <c r="O653" s="165"/>
    </row>
    <row r="654" spans="8:15" ht="13" x14ac:dyDescent="0.15">
      <c r="H654" s="77"/>
      <c r="M654" s="165"/>
      <c r="O654" s="165"/>
    </row>
    <row r="655" spans="8:15" ht="13" x14ac:dyDescent="0.15">
      <c r="H655" s="77"/>
      <c r="M655" s="165"/>
      <c r="O655" s="165"/>
    </row>
    <row r="656" spans="8:15" ht="13" x14ac:dyDescent="0.15">
      <c r="H656" s="77"/>
      <c r="M656" s="165"/>
      <c r="O656" s="165"/>
    </row>
    <row r="657" spans="8:15" ht="13" x14ac:dyDescent="0.15">
      <c r="H657" s="77"/>
      <c r="M657" s="165"/>
      <c r="O657" s="165"/>
    </row>
    <row r="658" spans="8:15" ht="13" x14ac:dyDescent="0.15">
      <c r="H658" s="77"/>
      <c r="M658" s="165"/>
      <c r="O658" s="165"/>
    </row>
    <row r="659" spans="8:15" ht="13" x14ac:dyDescent="0.15">
      <c r="H659" s="77"/>
      <c r="M659" s="165"/>
      <c r="O659" s="165"/>
    </row>
    <row r="660" spans="8:15" ht="13" x14ac:dyDescent="0.15">
      <c r="H660" s="77"/>
      <c r="M660" s="165"/>
      <c r="O660" s="165"/>
    </row>
    <row r="661" spans="8:15" ht="13" x14ac:dyDescent="0.15">
      <c r="H661" s="77"/>
      <c r="M661" s="165"/>
      <c r="O661" s="165"/>
    </row>
    <row r="662" spans="8:15" ht="13" x14ac:dyDescent="0.15">
      <c r="H662" s="77"/>
      <c r="M662" s="165"/>
      <c r="O662" s="165"/>
    </row>
    <row r="663" spans="8:15" ht="13" x14ac:dyDescent="0.15">
      <c r="H663" s="77"/>
      <c r="M663" s="165"/>
      <c r="O663" s="165"/>
    </row>
    <row r="664" spans="8:15" ht="13" x14ac:dyDescent="0.15">
      <c r="H664" s="77"/>
      <c r="M664" s="165"/>
      <c r="O664" s="165"/>
    </row>
    <row r="665" spans="8:15" ht="13" x14ac:dyDescent="0.15">
      <c r="H665" s="77"/>
      <c r="M665" s="165"/>
      <c r="O665" s="165"/>
    </row>
    <row r="666" spans="8:15" ht="13" x14ac:dyDescent="0.15">
      <c r="H666" s="77"/>
      <c r="M666" s="165"/>
      <c r="O666" s="165"/>
    </row>
    <row r="667" spans="8:15" ht="13" x14ac:dyDescent="0.15">
      <c r="H667" s="77"/>
      <c r="M667" s="165"/>
      <c r="O667" s="165"/>
    </row>
    <row r="668" spans="8:15" ht="13" x14ac:dyDescent="0.15">
      <c r="H668" s="77"/>
      <c r="M668" s="165"/>
      <c r="O668" s="165"/>
    </row>
    <row r="669" spans="8:15" ht="13" x14ac:dyDescent="0.15">
      <c r="H669" s="77"/>
      <c r="M669" s="165"/>
      <c r="O669" s="165"/>
    </row>
    <row r="670" spans="8:15" ht="13" x14ac:dyDescent="0.15">
      <c r="H670" s="77"/>
      <c r="M670" s="165"/>
      <c r="O670" s="165"/>
    </row>
    <row r="671" spans="8:15" ht="13" x14ac:dyDescent="0.15">
      <c r="H671" s="77"/>
      <c r="M671" s="165"/>
      <c r="O671" s="165"/>
    </row>
    <row r="672" spans="8:15" ht="13" x14ac:dyDescent="0.15">
      <c r="H672" s="77"/>
      <c r="M672" s="165"/>
      <c r="O672" s="165"/>
    </row>
    <row r="673" spans="8:15" ht="13" x14ac:dyDescent="0.15">
      <c r="H673" s="77"/>
      <c r="M673" s="165"/>
      <c r="O673" s="165"/>
    </row>
    <row r="674" spans="8:15" ht="13" x14ac:dyDescent="0.15">
      <c r="H674" s="77"/>
      <c r="M674" s="165"/>
      <c r="O674" s="165"/>
    </row>
    <row r="675" spans="8:15" ht="13" x14ac:dyDescent="0.15">
      <c r="H675" s="77"/>
      <c r="M675" s="165"/>
      <c r="O675" s="165"/>
    </row>
    <row r="676" spans="8:15" ht="13" x14ac:dyDescent="0.15">
      <c r="H676" s="77"/>
      <c r="M676" s="165"/>
      <c r="O676" s="165"/>
    </row>
    <row r="677" spans="8:15" ht="13" x14ac:dyDescent="0.15">
      <c r="H677" s="77"/>
      <c r="M677" s="165"/>
      <c r="O677" s="165"/>
    </row>
    <row r="678" spans="8:15" ht="13" x14ac:dyDescent="0.15">
      <c r="H678" s="77"/>
      <c r="M678" s="165"/>
      <c r="O678" s="165"/>
    </row>
    <row r="679" spans="8:15" ht="13" x14ac:dyDescent="0.15">
      <c r="H679" s="77"/>
      <c r="M679" s="165"/>
      <c r="O679" s="165"/>
    </row>
    <row r="680" spans="8:15" ht="13" x14ac:dyDescent="0.15">
      <c r="H680" s="77"/>
      <c r="M680" s="165"/>
      <c r="O680" s="165"/>
    </row>
    <row r="681" spans="8:15" ht="13" x14ac:dyDescent="0.15">
      <c r="H681" s="77"/>
      <c r="M681" s="165"/>
      <c r="O681" s="165"/>
    </row>
    <row r="682" spans="8:15" ht="13" x14ac:dyDescent="0.15">
      <c r="H682" s="77"/>
      <c r="M682" s="165"/>
      <c r="O682" s="165"/>
    </row>
    <row r="683" spans="8:15" ht="13" x14ac:dyDescent="0.15">
      <c r="H683" s="77"/>
      <c r="M683" s="165"/>
      <c r="O683" s="165"/>
    </row>
    <row r="684" spans="8:15" ht="13" x14ac:dyDescent="0.15">
      <c r="H684" s="77"/>
      <c r="M684" s="165"/>
      <c r="O684" s="165"/>
    </row>
    <row r="685" spans="8:15" ht="13" x14ac:dyDescent="0.15">
      <c r="H685" s="77"/>
      <c r="M685" s="165"/>
      <c r="O685" s="165"/>
    </row>
    <row r="686" spans="8:15" ht="13" x14ac:dyDescent="0.15">
      <c r="H686" s="77"/>
      <c r="M686" s="165"/>
      <c r="O686" s="165"/>
    </row>
    <row r="687" spans="8:15" ht="13" x14ac:dyDescent="0.15">
      <c r="H687" s="77"/>
      <c r="M687" s="165"/>
      <c r="O687" s="165"/>
    </row>
    <row r="688" spans="8:15" ht="13" x14ac:dyDescent="0.15">
      <c r="H688" s="77"/>
      <c r="M688" s="165"/>
      <c r="O688" s="165"/>
    </row>
    <row r="689" spans="8:15" ht="13" x14ac:dyDescent="0.15">
      <c r="H689" s="77"/>
      <c r="M689" s="165"/>
      <c r="O689" s="165"/>
    </row>
    <row r="690" spans="8:15" ht="13" x14ac:dyDescent="0.15">
      <c r="H690" s="77"/>
      <c r="M690" s="165"/>
      <c r="O690" s="165"/>
    </row>
    <row r="691" spans="8:15" ht="13" x14ac:dyDescent="0.15">
      <c r="H691" s="77"/>
      <c r="M691" s="165"/>
      <c r="O691" s="165"/>
    </row>
    <row r="692" spans="8:15" ht="13" x14ac:dyDescent="0.15">
      <c r="H692" s="77"/>
      <c r="M692" s="165"/>
      <c r="O692" s="165"/>
    </row>
    <row r="693" spans="8:15" ht="13" x14ac:dyDescent="0.15">
      <c r="H693" s="77"/>
      <c r="M693" s="165"/>
      <c r="O693" s="165"/>
    </row>
    <row r="694" spans="8:15" ht="13" x14ac:dyDescent="0.15">
      <c r="H694" s="77"/>
      <c r="M694" s="165"/>
      <c r="O694" s="165"/>
    </row>
    <row r="695" spans="8:15" ht="13" x14ac:dyDescent="0.15">
      <c r="H695" s="77"/>
      <c r="M695" s="165"/>
      <c r="O695" s="165"/>
    </row>
    <row r="696" spans="8:15" ht="13" x14ac:dyDescent="0.15">
      <c r="H696" s="77"/>
      <c r="M696" s="165"/>
      <c r="O696" s="165"/>
    </row>
    <row r="697" spans="8:15" ht="13" x14ac:dyDescent="0.15">
      <c r="H697" s="77"/>
      <c r="M697" s="165"/>
      <c r="O697" s="165"/>
    </row>
    <row r="698" spans="8:15" ht="13" x14ac:dyDescent="0.15">
      <c r="H698" s="77"/>
      <c r="M698" s="165"/>
      <c r="O698" s="165"/>
    </row>
    <row r="699" spans="8:15" ht="13" x14ac:dyDescent="0.15">
      <c r="H699" s="77"/>
      <c r="M699" s="165"/>
      <c r="O699" s="165"/>
    </row>
    <row r="700" spans="8:15" ht="13" x14ac:dyDescent="0.15">
      <c r="H700" s="77"/>
      <c r="M700" s="165"/>
      <c r="O700" s="165"/>
    </row>
    <row r="701" spans="8:15" ht="13" x14ac:dyDescent="0.15">
      <c r="H701" s="77"/>
      <c r="M701" s="165"/>
      <c r="O701" s="165"/>
    </row>
    <row r="702" spans="8:15" ht="13" x14ac:dyDescent="0.15">
      <c r="H702" s="77"/>
      <c r="M702" s="165"/>
      <c r="O702" s="165"/>
    </row>
    <row r="703" spans="8:15" ht="13" x14ac:dyDescent="0.15">
      <c r="H703" s="77"/>
      <c r="M703" s="165"/>
      <c r="O703" s="165"/>
    </row>
    <row r="704" spans="8:15" ht="13" x14ac:dyDescent="0.15">
      <c r="H704" s="77"/>
      <c r="M704" s="165"/>
      <c r="O704" s="165"/>
    </row>
    <row r="705" spans="8:15" ht="13" x14ac:dyDescent="0.15">
      <c r="H705" s="77"/>
      <c r="M705" s="165"/>
      <c r="O705" s="165"/>
    </row>
    <row r="706" spans="8:15" ht="13" x14ac:dyDescent="0.15">
      <c r="H706" s="77"/>
      <c r="M706" s="165"/>
      <c r="O706" s="165"/>
    </row>
    <row r="707" spans="8:15" ht="13" x14ac:dyDescent="0.15">
      <c r="H707" s="77"/>
      <c r="M707" s="165"/>
      <c r="O707" s="165"/>
    </row>
    <row r="708" spans="8:15" ht="13" x14ac:dyDescent="0.15">
      <c r="H708" s="77"/>
      <c r="M708" s="165"/>
      <c r="O708" s="165"/>
    </row>
    <row r="709" spans="8:15" ht="13" x14ac:dyDescent="0.15">
      <c r="H709" s="77"/>
      <c r="M709" s="165"/>
      <c r="O709" s="165"/>
    </row>
    <row r="710" spans="8:15" ht="13" x14ac:dyDescent="0.15">
      <c r="H710" s="77"/>
      <c r="M710" s="165"/>
      <c r="O710" s="165"/>
    </row>
    <row r="711" spans="8:15" ht="13" x14ac:dyDescent="0.15">
      <c r="H711" s="77"/>
      <c r="M711" s="165"/>
      <c r="O711" s="165"/>
    </row>
    <row r="712" spans="8:15" ht="13" x14ac:dyDescent="0.15">
      <c r="H712" s="77"/>
      <c r="M712" s="165"/>
      <c r="O712" s="165"/>
    </row>
    <row r="713" spans="8:15" ht="13" x14ac:dyDescent="0.15">
      <c r="H713" s="77"/>
      <c r="M713" s="165"/>
      <c r="O713" s="165"/>
    </row>
    <row r="714" spans="8:15" ht="13" x14ac:dyDescent="0.15">
      <c r="H714" s="77"/>
      <c r="M714" s="165"/>
      <c r="O714" s="165"/>
    </row>
    <row r="715" spans="8:15" ht="13" x14ac:dyDescent="0.15">
      <c r="H715" s="77"/>
      <c r="M715" s="165"/>
      <c r="O715" s="165"/>
    </row>
    <row r="716" spans="8:15" ht="13" x14ac:dyDescent="0.15">
      <c r="H716" s="77"/>
      <c r="M716" s="165"/>
      <c r="O716" s="165"/>
    </row>
    <row r="717" spans="8:15" ht="13" x14ac:dyDescent="0.15">
      <c r="H717" s="77"/>
      <c r="M717" s="165"/>
      <c r="O717" s="165"/>
    </row>
    <row r="718" spans="8:15" ht="13" x14ac:dyDescent="0.15">
      <c r="H718" s="77"/>
      <c r="M718" s="165"/>
      <c r="O718" s="165"/>
    </row>
    <row r="719" spans="8:15" ht="13" x14ac:dyDescent="0.15">
      <c r="H719" s="77"/>
      <c r="M719" s="165"/>
      <c r="O719" s="165"/>
    </row>
    <row r="720" spans="8:15" ht="13" x14ac:dyDescent="0.15">
      <c r="H720" s="77"/>
      <c r="M720" s="165"/>
      <c r="O720" s="165"/>
    </row>
    <row r="721" spans="8:15" ht="13" x14ac:dyDescent="0.15">
      <c r="H721" s="77"/>
      <c r="M721" s="165"/>
      <c r="O721" s="165"/>
    </row>
    <row r="722" spans="8:15" ht="13" x14ac:dyDescent="0.15">
      <c r="H722" s="77"/>
      <c r="M722" s="165"/>
      <c r="O722" s="165"/>
    </row>
    <row r="723" spans="8:15" ht="13" x14ac:dyDescent="0.15">
      <c r="H723" s="77"/>
      <c r="M723" s="165"/>
      <c r="O723" s="165"/>
    </row>
    <row r="724" spans="8:15" ht="13" x14ac:dyDescent="0.15">
      <c r="H724" s="77"/>
      <c r="M724" s="165"/>
      <c r="O724" s="165"/>
    </row>
    <row r="725" spans="8:15" ht="13" x14ac:dyDescent="0.15">
      <c r="H725" s="77"/>
      <c r="M725" s="165"/>
      <c r="O725" s="165"/>
    </row>
    <row r="726" spans="8:15" ht="13" x14ac:dyDescent="0.15">
      <c r="H726" s="77"/>
      <c r="M726" s="165"/>
      <c r="O726" s="165"/>
    </row>
    <row r="727" spans="8:15" ht="13" x14ac:dyDescent="0.15">
      <c r="H727" s="77"/>
      <c r="M727" s="165"/>
      <c r="O727" s="165"/>
    </row>
    <row r="728" spans="8:15" ht="13" x14ac:dyDescent="0.15">
      <c r="H728" s="77"/>
      <c r="M728" s="165"/>
      <c r="O728" s="165"/>
    </row>
    <row r="729" spans="8:15" ht="13" x14ac:dyDescent="0.15">
      <c r="H729" s="77"/>
      <c r="M729" s="165"/>
      <c r="O729" s="165"/>
    </row>
    <row r="730" spans="8:15" ht="13" x14ac:dyDescent="0.15">
      <c r="H730" s="77"/>
      <c r="M730" s="165"/>
      <c r="O730" s="165"/>
    </row>
    <row r="731" spans="8:15" ht="13" x14ac:dyDescent="0.15">
      <c r="H731" s="77"/>
      <c r="M731" s="165"/>
      <c r="O731" s="165"/>
    </row>
    <row r="732" spans="8:15" ht="13" x14ac:dyDescent="0.15">
      <c r="H732" s="77"/>
      <c r="M732" s="165"/>
      <c r="O732" s="165"/>
    </row>
    <row r="733" spans="8:15" ht="13" x14ac:dyDescent="0.15">
      <c r="H733" s="77"/>
      <c r="M733" s="165"/>
      <c r="O733" s="165"/>
    </row>
    <row r="734" spans="8:15" ht="13" x14ac:dyDescent="0.15">
      <c r="H734" s="77"/>
      <c r="M734" s="165"/>
      <c r="O734" s="165"/>
    </row>
    <row r="735" spans="8:15" ht="13" x14ac:dyDescent="0.15">
      <c r="H735" s="77"/>
      <c r="M735" s="165"/>
      <c r="O735" s="165"/>
    </row>
    <row r="736" spans="8:15" ht="13" x14ac:dyDescent="0.15">
      <c r="H736" s="77"/>
      <c r="M736" s="165"/>
      <c r="O736" s="165"/>
    </row>
    <row r="737" spans="8:15" ht="13" x14ac:dyDescent="0.15">
      <c r="H737" s="77"/>
      <c r="M737" s="165"/>
      <c r="O737" s="165"/>
    </row>
    <row r="738" spans="8:15" ht="13" x14ac:dyDescent="0.15">
      <c r="H738" s="77"/>
      <c r="M738" s="165"/>
      <c r="O738" s="165"/>
    </row>
    <row r="739" spans="8:15" ht="13" x14ac:dyDescent="0.15">
      <c r="H739" s="77"/>
      <c r="M739" s="165"/>
      <c r="O739" s="165"/>
    </row>
    <row r="740" spans="8:15" ht="13" x14ac:dyDescent="0.15">
      <c r="H740" s="77"/>
      <c r="M740" s="165"/>
      <c r="O740" s="165"/>
    </row>
    <row r="741" spans="8:15" ht="13" x14ac:dyDescent="0.15">
      <c r="H741" s="77"/>
      <c r="M741" s="165"/>
      <c r="O741" s="165"/>
    </row>
    <row r="742" spans="8:15" ht="13" x14ac:dyDescent="0.15">
      <c r="H742" s="77"/>
      <c r="M742" s="165"/>
      <c r="O742" s="165"/>
    </row>
    <row r="743" spans="8:15" ht="13" x14ac:dyDescent="0.15">
      <c r="H743" s="77"/>
      <c r="M743" s="165"/>
      <c r="O743" s="165"/>
    </row>
    <row r="744" spans="8:15" ht="13" x14ac:dyDescent="0.15">
      <c r="H744" s="77"/>
      <c r="M744" s="165"/>
      <c r="O744" s="165"/>
    </row>
    <row r="745" spans="8:15" ht="13" x14ac:dyDescent="0.15">
      <c r="H745" s="77"/>
      <c r="M745" s="165"/>
      <c r="O745" s="165"/>
    </row>
    <row r="746" spans="8:15" ht="13" x14ac:dyDescent="0.15">
      <c r="H746" s="77"/>
      <c r="M746" s="165"/>
      <c r="O746" s="165"/>
    </row>
    <row r="747" spans="8:15" ht="13" x14ac:dyDescent="0.15">
      <c r="H747" s="77"/>
      <c r="M747" s="165"/>
      <c r="O747" s="165"/>
    </row>
    <row r="748" spans="8:15" ht="13" x14ac:dyDescent="0.15">
      <c r="H748" s="77"/>
      <c r="M748" s="165"/>
      <c r="O748" s="165"/>
    </row>
    <row r="749" spans="8:15" ht="13" x14ac:dyDescent="0.15">
      <c r="H749" s="77"/>
      <c r="M749" s="165"/>
      <c r="O749" s="165"/>
    </row>
    <row r="750" spans="8:15" ht="13" x14ac:dyDescent="0.15">
      <c r="H750" s="77"/>
      <c r="M750" s="165"/>
      <c r="O750" s="165"/>
    </row>
    <row r="751" spans="8:15" ht="13" x14ac:dyDescent="0.15">
      <c r="H751" s="77"/>
      <c r="M751" s="165"/>
      <c r="O751" s="165"/>
    </row>
    <row r="752" spans="8:15" ht="13" x14ac:dyDescent="0.15">
      <c r="H752" s="77"/>
      <c r="M752" s="165"/>
      <c r="O752" s="165"/>
    </row>
    <row r="753" spans="8:15" ht="13" x14ac:dyDescent="0.15">
      <c r="H753" s="77"/>
      <c r="M753" s="165"/>
      <c r="O753" s="165"/>
    </row>
    <row r="754" spans="8:15" ht="13" x14ac:dyDescent="0.15">
      <c r="H754" s="77"/>
      <c r="M754" s="165"/>
      <c r="O754" s="165"/>
    </row>
    <row r="755" spans="8:15" ht="13" x14ac:dyDescent="0.15">
      <c r="H755" s="77"/>
      <c r="M755" s="165"/>
      <c r="O755" s="165"/>
    </row>
    <row r="756" spans="8:15" ht="13" x14ac:dyDescent="0.15">
      <c r="H756" s="77"/>
      <c r="M756" s="165"/>
      <c r="O756" s="165"/>
    </row>
    <row r="757" spans="8:15" ht="13" x14ac:dyDescent="0.15">
      <c r="H757" s="77"/>
      <c r="M757" s="165"/>
      <c r="O757" s="165"/>
    </row>
    <row r="758" spans="8:15" ht="13" x14ac:dyDescent="0.15">
      <c r="H758" s="77"/>
      <c r="M758" s="165"/>
      <c r="O758" s="165"/>
    </row>
    <row r="759" spans="8:15" ht="13" x14ac:dyDescent="0.15">
      <c r="H759" s="77"/>
      <c r="M759" s="165"/>
      <c r="O759" s="165"/>
    </row>
    <row r="760" spans="8:15" ht="13" x14ac:dyDescent="0.15">
      <c r="H760" s="77"/>
      <c r="M760" s="165"/>
      <c r="O760" s="165"/>
    </row>
    <row r="761" spans="8:15" ht="13" x14ac:dyDescent="0.15">
      <c r="H761" s="77"/>
      <c r="M761" s="165"/>
      <c r="O761" s="165"/>
    </row>
    <row r="762" spans="8:15" ht="13" x14ac:dyDescent="0.15">
      <c r="H762" s="77"/>
      <c r="M762" s="165"/>
      <c r="O762" s="165"/>
    </row>
    <row r="763" spans="8:15" ht="13" x14ac:dyDescent="0.15">
      <c r="H763" s="77"/>
      <c r="M763" s="165"/>
      <c r="O763" s="165"/>
    </row>
    <row r="764" spans="8:15" ht="13" x14ac:dyDescent="0.15">
      <c r="H764" s="77"/>
      <c r="M764" s="165"/>
      <c r="O764" s="165"/>
    </row>
    <row r="765" spans="8:15" ht="13" x14ac:dyDescent="0.15">
      <c r="H765" s="77"/>
      <c r="M765" s="165"/>
      <c r="O765" s="165"/>
    </row>
    <row r="766" spans="8:15" ht="13" x14ac:dyDescent="0.15">
      <c r="H766" s="77"/>
      <c r="M766" s="165"/>
      <c r="O766" s="165"/>
    </row>
    <row r="767" spans="8:15" ht="13" x14ac:dyDescent="0.15">
      <c r="H767" s="77"/>
      <c r="M767" s="165"/>
      <c r="O767" s="165"/>
    </row>
    <row r="768" spans="8:15" ht="13" x14ac:dyDescent="0.15">
      <c r="H768" s="77"/>
      <c r="M768" s="165"/>
      <c r="O768" s="165"/>
    </row>
    <row r="769" spans="8:15" ht="13" x14ac:dyDescent="0.15">
      <c r="H769" s="77"/>
      <c r="M769" s="165"/>
      <c r="O769" s="165"/>
    </row>
    <row r="770" spans="8:15" ht="13" x14ac:dyDescent="0.15">
      <c r="H770" s="77"/>
      <c r="M770" s="165"/>
      <c r="O770" s="165"/>
    </row>
    <row r="771" spans="8:15" ht="13" x14ac:dyDescent="0.15">
      <c r="H771" s="77"/>
      <c r="M771" s="165"/>
      <c r="O771" s="165"/>
    </row>
    <row r="772" spans="8:15" ht="13" x14ac:dyDescent="0.15">
      <c r="H772" s="77"/>
      <c r="M772" s="165"/>
      <c r="O772" s="165"/>
    </row>
    <row r="773" spans="8:15" ht="13" x14ac:dyDescent="0.15">
      <c r="H773" s="77"/>
      <c r="M773" s="165"/>
      <c r="O773" s="165"/>
    </row>
    <row r="774" spans="8:15" ht="13" x14ac:dyDescent="0.15">
      <c r="H774" s="77"/>
      <c r="M774" s="165"/>
      <c r="O774" s="165"/>
    </row>
    <row r="775" spans="8:15" ht="13" x14ac:dyDescent="0.15">
      <c r="H775" s="77"/>
      <c r="M775" s="165"/>
      <c r="O775" s="165"/>
    </row>
    <row r="776" spans="8:15" ht="13" x14ac:dyDescent="0.15">
      <c r="H776" s="77"/>
      <c r="M776" s="165"/>
      <c r="O776" s="165"/>
    </row>
    <row r="777" spans="8:15" ht="13" x14ac:dyDescent="0.15">
      <c r="H777" s="77"/>
      <c r="M777" s="165"/>
      <c r="O777" s="165"/>
    </row>
    <row r="778" spans="8:15" ht="13" x14ac:dyDescent="0.15">
      <c r="H778" s="77"/>
      <c r="M778" s="165"/>
      <c r="O778" s="165"/>
    </row>
    <row r="779" spans="8:15" ht="13" x14ac:dyDescent="0.15">
      <c r="H779" s="77"/>
      <c r="M779" s="165"/>
      <c r="O779" s="165"/>
    </row>
    <row r="780" spans="8:15" ht="13" x14ac:dyDescent="0.15">
      <c r="H780" s="77"/>
      <c r="M780" s="165"/>
      <c r="O780" s="165"/>
    </row>
    <row r="781" spans="8:15" ht="13" x14ac:dyDescent="0.15">
      <c r="H781" s="77"/>
      <c r="M781" s="165"/>
      <c r="O781" s="165"/>
    </row>
    <row r="782" spans="8:15" ht="13" x14ac:dyDescent="0.15">
      <c r="H782" s="77"/>
      <c r="M782" s="165"/>
      <c r="O782" s="165"/>
    </row>
    <row r="783" spans="8:15" ht="13" x14ac:dyDescent="0.15">
      <c r="H783" s="77"/>
      <c r="M783" s="165"/>
      <c r="O783" s="165"/>
    </row>
    <row r="784" spans="8:15" ht="13" x14ac:dyDescent="0.15">
      <c r="H784" s="77"/>
      <c r="M784" s="165"/>
      <c r="O784" s="165"/>
    </row>
    <row r="785" spans="8:15" ht="13" x14ac:dyDescent="0.15">
      <c r="H785" s="77"/>
      <c r="M785" s="165"/>
      <c r="O785" s="165"/>
    </row>
    <row r="786" spans="8:15" ht="13" x14ac:dyDescent="0.15">
      <c r="H786" s="77"/>
      <c r="M786" s="165"/>
      <c r="O786" s="165"/>
    </row>
    <row r="787" spans="8:15" ht="13" x14ac:dyDescent="0.15">
      <c r="H787" s="77"/>
      <c r="M787" s="165"/>
      <c r="O787" s="165"/>
    </row>
    <row r="788" spans="8:15" ht="13" x14ac:dyDescent="0.15">
      <c r="H788" s="77"/>
      <c r="M788" s="165"/>
      <c r="O788" s="165"/>
    </row>
    <row r="789" spans="8:15" ht="13" x14ac:dyDescent="0.15">
      <c r="H789" s="77"/>
      <c r="M789" s="165"/>
      <c r="O789" s="165"/>
    </row>
    <row r="790" spans="8:15" ht="13" x14ac:dyDescent="0.15">
      <c r="H790" s="77"/>
      <c r="M790" s="165"/>
      <c r="O790" s="165"/>
    </row>
    <row r="791" spans="8:15" ht="13" x14ac:dyDescent="0.15">
      <c r="H791" s="77"/>
      <c r="M791" s="165"/>
      <c r="O791" s="165"/>
    </row>
    <row r="792" spans="8:15" ht="13" x14ac:dyDescent="0.15">
      <c r="H792" s="77"/>
      <c r="M792" s="165"/>
      <c r="O792" s="165"/>
    </row>
    <row r="793" spans="8:15" ht="13" x14ac:dyDescent="0.15">
      <c r="H793" s="77"/>
      <c r="M793" s="165"/>
      <c r="O793" s="165"/>
    </row>
    <row r="794" spans="8:15" ht="13" x14ac:dyDescent="0.15">
      <c r="H794" s="77"/>
      <c r="M794" s="165"/>
      <c r="O794" s="165"/>
    </row>
    <row r="795" spans="8:15" ht="13" x14ac:dyDescent="0.15">
      <c r="H795" s="77"/>
      <c r="M795" s="165"/>
      <c r="O795" s="165"/>
    </row>
    <row r="796" spans="8:15" ht="13" x14ac:dyDescent="0.15">
      <c r="H796" s="77"/>
      <c r="M796" s="165"/>
      <c r="O796" s="165"/>
    </row>
    <row r="797" spans="8:15" ht="13" x14ac:dyDescent="0.15">
      <c r="H797" s="77"/>
      <c r="M797" s="165"/>
      <c r="O797" s="165"/>
    </row>
    <row r="798" spans="8:15" ht="13" x14ac:dyDescent="0.15">
      <c r="H798" s="77"/>
      <c r="M798" s="165"/>
      <c r="O798" s="165"/>
    </row>
    <row r="799" spans="8:15" ht="13" x14ac:dyDescent="0.15">
      <c r="H799" s="77"/>
      <c r="M799" s="165"/>
      <c r="O799" s="165"/>
    </row>
    <row r="800" spans="8:15" ht="13" x14ac:dyDescent="0.15">
      <c r="H800" s="77"/>
      <c r="M800" s="165"/>
      <c r="O800" s="165"/>
    </row>
    <row r="801" spans="8:15" ht="13" x14ac:dyDescent="0.15">
      <c r="H801" s="77"/>
      <c r="M801" s="165"/>
      <c r="O801" s="165"/>
    </row>
    <row r="802" spans="8:15" ht="13" x14ac:dyDescent="0.15">
      <c r="H802" s="77"/>
      <c r="M802" s="165"/>
      <c r="O802" s="165"/>
    </row>
    <row r="803" spans="8:15" ht="13" x14ac:dyDescent="0.15">
      <c r="H803" s="77"/>
      <c r="M803" s="165"/>
      <c r="O803" s="165"/>
    </row>
    <row r="804" spans="8:15" ht="13" x14ac:dyDescent="0.15">
      <c r="H804" s="77"/>
      <c r="M804" s="165"/>
      <c r="O804" s="165"/>
    </row>
    <row r="805" spans="8:15" ht="13" x14ac:dyDescent="0.15">
      <c r="H805" s="77"/>
      <c r="M805" s="165"/>
      <c r="O805" s="165"/>
    </row>
    <row r="806" spans="8:15" ht="13" x14ac:dyDescent="0.15">
      <c r="H806" s="77"/>
      <c r="M806" s="165"/>
      <c r="O806" s="165"/>
    </row>
    <row r="807" spans="8:15" ht="13" x14ac:dyDescent="0.15">
      <c r="H807" s="77"/>
      <c r="M807" s="165"/>
      <c r="O807" s="165"/>
    </row>
    <row r="808" spans="8:15" ht="13" x14ac:dyDescent="0.15">
      <c r="H808" s="77"/>
      <c r="M808" s="165"/>
      <c r="O808" s="165"/>
    </row>
    <row r="809" spans="8:15" ht="13" x14ac:dyDescent="0.15">
      <c r="H809" s="77"/>
      <c r="M809" s="165"/>
      <c r="O809" s="165"/>
    </row>
    <row r="810" spans="8:15" ht="13" x14ac:dyDescent="0.15">
      <c r="H810" s="77"/>
      <c r="M810" s="165"/>
      <c r="O810" s="165"/>
    </row>
    <row r="811" spans="8:15" ht="13" x14ac:dyDescent="0.15">
      <c r="H811" s="77"/>
      <c r="M811" s="165"/>
      <c r="O811" s="165"/>
    </row>
    <row r="812" spans="8:15" ht="13" x14ac:dyDescent="0.15">
      <c r="H812" s="77"/>
      <c r="M812" s="165"/>
      <c r="O812" s="165"/>
    </row>
    <row r="813" spans="8:15" ht="13" x14ac:dyDescent="0.15">
      <c r="H813" s="77"/>
      <c r="M813" s="165"/>
      <c r="O813" s="165"/>
    </row>
    <row r="814" spans="8:15" ht="13" x14ac:dyDescent="0.15">
      <c r="H814" s="77"/>
      <c r="M814" s="165"/>
      <c r="O814" s="165"/>
    </row>
    <row r="815" spans="8:15" ht="13" x14ac:dyDescent="0.15">
      <c r="H815" s="77"/>
      <c r="M815" s="165"/>
      <c r="O815" s="165"/>
    </row>
    <row r="816" spans="8:15" ht="13" x14ac:dyDescent="0.15">
      <c r="H816" s="77"/>
      <c r="M816" s="165"/>
      <c r="O816" s="165"/>
    </row>
    <row r="817" spans="8:15" ht="13" x14ac:dyDescent="0.15">
      <c r="H817" s="77"/>
      <c r="M817" s="165"/>
      <c r="O817" s="165"/>
    </row>
    <row r="818" spans="8:15" ht="13" x14ac:dyDescent="0.15">
      <c r="H818" s="77"/>
      <c r="M818" s="165"/>
      <c r="O818" s="165"/>
    </row>
    <row r="819" spans="8:15" ht="13" x14ac:dyDescent="0.15">
      <c r="H819" s="77"/>
      <c r="M819" s="165"/>
      <c r="O819" s="165"/>
    </row>
    <row r="820" spans="8:15" ht="13" x14ac:dyDescent="0.15">
      <c r="H820" s="77"/>
      <c r="M820" s="165"/>
      <c r="O820" s="165"/>
    </row>
    <row r="821" spans="8:15" ht="13" x14ac:dyDescent="0.15">
      <c r="H821" s="77"/>
      <c r="M821" s="165"/>
      <c r="O821" s="165"/>
    </row>
    <row r="822" spans="8:15" ht="13" x14ac:dyDescent="0.15">
      <c r="H822" s="77"/>
      <c r="M822" s="165"/>
      <c r="O822" s="165"/>
    </row>
    <row r="823" spans="8:15" ht="13" x14ac:dyDescent="0.15">
      <c r="H823" s="77"/>
      <c r="M823" s="165"/>
      <c r="O823" s="165"/>
    </row>
    <row r="824" spans="8:15" ht="13" x14ac:dyDescent="0.15">
      <c r="H824" s="77"/>
      <c r="M824" s="165"/>
      <c r="O824" s="165"/>
    </row>
    <row r="825" spans="8:15" ht="13" x14ac:dyDescent="0.15">
      <c r="H825" s="77"/>
      <c r="M825" s="165"/>
      <c r="O825" s="165"/>
    </row>
    <row r="826" spans="8:15" ht="13" x14ac:dyDescent="0.15">
      <c r="H826" s="77"/>
      <c r="M826" s="165"/>
      <c r="O826" s="165"/>
    </row>
    <row r="827" spans="8:15" ht="13" x14ac:dyDescent="0.15">
      <c r="H827" s="77"/>
      <c r="M827" s="165"/>
      <c r="O827" s="165"/>
    </row>
    <row r="828" spans="8:15" ht="13" x14ac:dyDescent="0.15">
      <c r="H828" s="77"/>
      <c r="M828" s="165"/>
      <c r="O828" s="165"/>
    </row>
    <row r="829" spans="8:15" ht="13" x14ac:dyDescent="0.15">
      <c r="H829" s="77"/>
      <c r="M829" s="165"/>
      <c r="O829" s="165"/>
    </row>
    <row r="830" spans="8:15" ht="13" x14ac:dyDescent="0.15">
      <c r="H830" s="77"/>
      <c r="M830" s="165"/>
      <c r="O830" s="165"/>
    </row>
    <row r="831" spans="8:15" ht="13" x14ac:dyDescent="0.15">
      <c r="H831" s="77"/>
      <c r="M831" s="165"/>
      <c r="O831" s="165"/>
    </row>
    <row r="832" spans="8:15" ht="13" x14ac:dyDescent="0.15">
      <c r="H832" s="77"/>
      <c r="M832" s="165"/>
      <c r="O832" s="165"/>
    </row>
    <row r="833" spans="8:15" ht="13" x14ac:dyDescent="0.15">
      <c r="H833" s="77"/>
      <c r="M833" s="165"/>
      <c r="O833" s="165"/>
    </row>
    <row r="834" spans="8:15" ht="13" x14ac:dyDescent="0.15">
      <c r="H834" s="77"/>
      <c r="M834" s="165"/>
      <c r="O834" s="165"/>
    </row>
    <row r="835" spans="8:15" ht="13" x14ac:dyDescent="0.15">
      <c r="H835" s="77"/>
      <c r="M835" s="165"/>
      <c r="O835" s="165"/>
    </row>
    <row r="836" spans="8:15" ht="13" x14ac:dyDescent="0.15">
      <c r="H836" s="77"/>
      <c r="M836" s="165"/>
      <c r="O836" s="165"/>
    </row>
    <row r="837" spans="8:15" ht="13" x14ac:dyDescent="0.15">
      <c r="H837" s="77"/>
      <c r="M837" s="165"/>
      <c r="O837" s="165"/>
    </row>
    <row r="838" spans="8:15" ht="13" x14ac:dyDescent="0.15">
      <c r="H838" s="77"/>
      <c r="M838" s="165"/>
      <c r="O838" s="165"/>
    </row>
    <row r="839" spans="8:15" ht="13" x14ac:dyDescent="0.15">
      <c r="H839" s="77"/>
      <c r="M839" s="165"/>
      <c r="O839" s="165"/>
    </row>
    <row r="840" spans="8:15" ht="13" x14ac:dyDescent="0.15">
      <c r="H840" s="77"/>
      <c r="M840" s="165"/>
      <c r="O840" s="165"/>
    </row>
    <row r="841" spans="8:15" ht="13" x14ac:dyDescent="0.15">
      <c r="H841" s="77"/>
      <c r="M841" s="165"/>
      <c r="O841" s="165"/>
    </row>
    <row r="842" spans="8:15" ht="13" x14ac:dyDescent="0.15">
      <c r="H842" s="77"/>
      <c r="M842" s="165"/>
      <c r="O842" s="165"/>
    </row>
    <row r="843" spans="8:15" ht="13" x14ac:dyDescent="0.15">
      <c r="H843" s="77"/>
      <c r="M843" s="165"/>
      <c r="O843" s="165"/>
    </row>
    <row r="844" spans="8:15" ht="13" x14ac:dyDescent="0.15">
      <c r="H844" s="77"/>
      <c r="M844" s="165"/>
      <c r="O844" s="165"/>
    </row>
    <row r="845" spans="8:15" ht="13" x14ac:dyDescent="0.15">
      <c r="H845" s="77"/>
      <c r="M845" s="165"/>
      <c r="O845" s="165"/>
    </row>
    <row r="846" spans="8:15" ht="13" x14ac:dyDescent="0.15">
      <c r="H846" s="77"/>
      <c r="M846" s="165"/>
      <c r="O846" s="165"/>
    </row>
    <row r="847" spans="8:15" ht="13" x14ac:dyDescent="0.15">
      <c r="H847" s="77"/>
      <c r="M847" s="165"/>
      <c r="O847" s="165"/>
    </row>
    <row r="848" spans="8:15" ht="13" x14ac:dyDescent="0.15">
      <c r="H848" s="77"/>
      <c r="M848" s="165"/>
      <c r="O848" s="165"/>
    </row>
    <row r="849" spans="8:15" ht="13" x14ac:dyDescent="0.15">
      <c r="H849" s="77"/>
      <c r="M849" s="165"/>
      <c r="O849" s="165"/>
    </row>
    <row r="850" spans="8:15" ht="13" x14ac:dyDescent="0.15">
      <c r="H850" s="77"/>
      <c r="M850" s="165"/>
      <c r="O850" s="165"/>
    </row>
    <row r="851" spans="8:15" ht="13" x14ac:dyDescent="0.15">
      <c r="H851" s="77"/>
      <c r="M851" s="165"/>
      <c r="O851" s="165"/>
    </row>
    <row r="852" spans="8:15" ht="13" x14ac:dyDescent="0.15">
      <c r="H852" s="77"/>
      <c r="M852" s="165"/>
      <c r="O852" s="165"/>
    </row>
    <row r="853" spans="8:15" ht="13" x14ac:dyDescent="0.15">
      <c r="H853" s="77"/>
      <c r="M853" s="165"/>
      <c r="O853" s="165"/>
    </row>
    <row r="854" spans="8:15" ht="13" x14ac:dyDescent="0.15">
      <c r="H854" s="77"/>
      <c r="M854" s="165"/>
      <c r="O854" s="165"/>
    </row>
    <row r="855" spans="8:15" ht="13" x14ac:dyDescent="0.15">
      <c r="H855" s="77"/>
      <c r="M855" s="165"/>
      <c r="O855" s="165"/>
    </row>
    <row r="856" spans="8:15" ht="13" x14ac:dyDescent="0.15">
      <c r="H856" s="77"/>
      <c r="M856" s="165"/>
      <c r="O856" s="165"/>
    </row>
    <row r="857" spans="8:15" ht="13" x14ac:dyDescent="0.15">
      <c r="H857" s="77"/>
      <c r="M857" s="165"/>
      <c r="O857" s="165"/>
    </row>
    <row r="858" spans="8:15" ht="13" x14ac:dyDescent="0.15">
      <c r="H858" s="77"/>
      <c r="M858" s="165"/>
      <c r="O858" s="165"/>
    </row>
    <row r="859" spans="8:15" ht="13" x14ac:dyDescent="0.15">
      <c r="H859" s="77"/>
      <c r="M859" s="165"/>
      <c r="O859" s="165"/>
    </row>
    <row r="860" spans="8:15" ht="13" x14ac:dyDescent="0.15">
      <c r="H860" s="77"/>
      <c r="M860" s="165"/>
      <c r="O860" s="165"/>
    </row>
    <row r="861" spans="8:15" ht="13" x14ac:dyDescent="0.15">
      <c r="H861" s="77"/>
      <c r="M861" s="165"/>
      <c r="O861" s="165"/>
    </row>
    <row r="862" spans="8:15" ht="13" x14ac:dyDescent="0.15">
      <c r="H862" s="77"/>
      <c r="M862" s="165"/>
      <c r="O862" s="165"/>
    </row>
    <row r="863" spans="8:15" ht="13" x14ac:dyDescent="0.15">
      <c r="H863" s="77"/>
      <c r="M863" s="165"/>
      <c r="O863" s="165"/>
    </row>
    <row r="864" spans="8:15" ht="13" x14ac:dyDescent="0.15">
      <c r="H864" s="77"/>
      <c r="M864" s="165"/>
      <c r="O864" s="165"/>
    </row>
    <row r="865" spans="8:15" ht="13" x14ac:dyDescent="0.15">
      <c r="H865" s="77"/>
      <c r="M865" s="165"/>
      <c r="O865" s="165"/>
    </row>
    <row r="866" spans="8:15" ht="13" x14ac:dyDescent="0.15">
      <c r="H866" s="77"/>
      <c r="M866" s="165"/>
      <c r="O866" s="165"/>
    </row>
    <row r="867" spans="8:15" ht="13" x14ac:dyDescent="0.15">
      <c r="H867" s="77"/>
      <c r="M867" s="165"/>
      <c r="O867" s="165"/>
    </row>
    <row r="868" spans="8:15" ht="13" x14ac:dyDescent="0.15">
      <c r="H868" s="77"/>
      <c r="M868" s="165"/>
      <c r="O868" s="165"/>
    </row>
    <row r="869" spans="8:15" ht="13" x14ac:dyDescent="0.15">
      <c r="H869" s="77"/>
      <c r="M869" s="165"/>
      <c r="O869" s="165"/>
    </row>
    <row r="870" spans="8:15" ht="13" x14ac:dyDescent="0.15">
      <c r="H870" s="77"/>
      <c r="M870" s="165"/>
      <c r="O870" s="165"/>
    </row>
    <row r="871" spans="8:15" ht="13" x14ac:dyDescent="0.15">
      <c r="H871" s="77"/>
      <c r="M871" s="165"/>
      <c r="O871" s="165"/>
    </row>
    <row r="872" spans="8:15" ht="13" x14ac:dyDescent="0.15">
      <c r="H872" s="77"/>
      <c r="M872" s="165"/>
      <c r="O872" s="165"/>
    </row>
    <row r="873" spans="8:15" ht="13" x14ac:dyDescent="0.15">
      <c r="H873" s="77"/>
      <c r="M873" s="165"/>
      <c r="O873" s="165"/>
    </row>
    <row r="874" spans="8:15" ht="13" x14ac:dyDescent="0.15">
      <c r="H874" s="77"/>
      <c r="M874" s="165"/>
      <c r="O874" s="165"/>
    </row>
    <row r="875" spans="8:15" ht="13" x14ac:dyDescent="0.15">
      <c r="H875" s="77"/>
      <c r="M875" s="165"/>
      <c r="O875" s="165"/>
    </row>
    <row r="876" spans="8:15" ht="13" x14ac:dyDescent="0.15">
      <c r="H876" s="77"/>
      <c r="M876" s="165"/>
      <c r="O876" s="165"/>
    </row>
    <row r="877" spans="8:15" ht="13" x14ac:dyDescent="0.15">
      <c r="H877" s="77"/>
      <c r="M877" s="165"/>
      <c r="O877" s="165"/>
    </row>
    <row r="878" spans="8:15" ht="13" x14ac:dyDescent="0.15">
      <c r="H878" s="77"/>
      <c r="M878" s="165"/>
      <c r="O878" s="165"/>
    </row>
    <row r="879" spans="8:15" ht="13" x14ac:dyDescent="0.15">
      <c r="H879" s="77"/>
      <c r="M879" s="165"/>
      <c r="O879" s="165"/>
    </row>
    <row r="880" spans="8:15" ht="13" x14ac:dyDescent="0.15">
      <c r="H880" s="77"/>
      <c r="M880" s="165"/>
      <c r="O880" s="165"/>
    </row>
    <row r="881" spans="8:15" ht="13" x14ac:dyDescent="0.15">
      <c r="H881" s="77"/>
      <c r="M881" s="165"/>
      <c r="O881" s="165"/>
    </row>
    <row r="882" spans="8:15" ht="13" x14ac:dyDescent="0.15">
      <c r="H882" s="77"/>
      <c r="M882" s="165"/>
      <c r="O882" s="165"/>
    </row>
    <row r="883" spans="8:15" ht="13" x14ac:dyDescent="0.15">
      <c r="H883" s="77"/>
      <c r="M883" s="165"/>
      <c r="O883" s="165"/>
    </row>
    <row r="884" spans="8:15" ht="13" x14ac:dyDescent="0.15">
      <c r="H884" s="77"/>
      <c r="M884" s="165"/>
      <c r="O884" s="165"/>
    </row>
    <row r="885" spans="8:15" ht="13" x14ac:dyDescent="0.15">
      <c r="H885" s="77"/>
      <c r="M885" s="165"/>
      <c r="O885" s="165"/>
    </row>
    <row r="886" spans="8:15" ht="13" x14ac:dyDescent="0.15">
      <c r="H886" s="77"/>
      <c r="M886" s="165"/>
      <c r="O886" s="165"/>
    </row>
    <row r="887" spans="8:15" ht="13" x14ac:dyDescent="0.15">
      <c r="H887" s="77"/>
      <c r="M887" s="165"/>
      <c r="O887" s="165"/>
    </row>
    <row r="888" spans="8:15" ht="13" x14ac:dyDescent="0.15">
      <c r="H888" s="77"/>
      <c r="M888" s="165"/>
      <c r="O888" s="165"/>
    </row>
    <row r="889" spans="8:15" ht="13" x14ac:dyDescent="0.15">
      <c r="H889" s="77"/>
      <c r="M889" s="165"/>
      <c r="O889" s="165"/>
    </row>
    <row r="890" spans="8:15" ht="13" x14ac:dyDescent="0.15">
      <c r="H890" s="77"/>
      <c r="M890" s="165"/>
      <c r="O890" s="165"/>
    </row>
    <row r="891" spans="8:15" ht="13" x14ac:dyDescent="0.15">
      <c r="H891" s="77"/>
      <c r="M891" s="165"/>
      <c r="O891" s="165"/>
    </row>
    <row r="892" spans="8:15" ht="13" x14ac:dyDescent="0.15">
      <c r="H892" s="77"/>
      <c r="M892" s="165"/>
      <c r="O892" s="165"/>
    </row>
    <row r="893" spans="8:15" ht="13" x14ac:dyDescent="0.15">
      <c r="H893" s="77"/>
      <c r="M893" s="165"/>
      <c r="O893" s="165"/>
    </row>
    <row r="894" spans="8:15" ht="13" x14ac:dyDescent="0.15">
      <c r="H894" s="77"/>
      <c r="M894" s="165"/>
      <c r="O894" s="165"/>
    </row>
    <row r="895" spans="8:15" ht="13" x14ac:dyDescent="0.15">
      <c r="H895" s="77"/>
      <c r="M895" s="165"/>
      <c r="O895" s="165"/>
    </row>
    <row r="896" spans="8:15" ht="13" x14ac:dyDescent="0.15">
      <c r="H896" s="77"/>
      <c r="M896" s="165"/>
      <c r="O896" s="165"/>
    </row>
    <row r="897" spans="8:15" ht="13" x14ac:dyDescent="0.15">
      <c r="H897" s="77"/>
      <c r="M897" s="165"/>
      <c r="O897" s="165"/>
    </row>
    <row r="898" spans="8:15" ht="13" x14ac:dyDescent="0.15">
      <c r="H898" s="77"/>
      <c r="M898" s="165"/>
      <c r="O898" s="165"/>
    </row>
    <row r="899" spans="8:15" ht="13" x14ac:dyDescent="0.15">
      <c r="H899" s="77"/>
      <c r="M899" s="165"/>
      <c r="O899" s="165"/>
    </row>
    <row r="900" spans="8:15" ht="13" x14ac:dyDescent="0.15">
      <c r="H900" s="77"/>
      <c r="M900" s="165"/>
      <c r="O900" s="165"/>
    </row>
    <row r="901" spans="8:15" ht="13" x14ac:dyDescent="0.15">
      <c r="H901" s="77"/>
      <c r="M901" s="165"/>
      <c r="O901" s="165"/>
    </row>
    <row r="902" spans="8:15" ht="13" x14ac:dyDescent="0.15">
      <c r="H902" s="77"/>
      <c r="M902" s="165"/>
      <c r="O902" s="165"/>
    </row>
    <row r="903" spans="8:15" ht="13" x14ac:dyDescent="0.15">
      <c r="H903" s="77"/>
      <c r="M903" s="165"/>
      <c r="O903" s="165"/>
    </row>
    <row r="904" spans="8:15" ht="13" x14ac:dyDescent="0.15">
      <c r="H904" s="77"/>
      <c r="M904" s="165"/>
      <c r="O904" s="165"/>
    </row>
    <row r="905" spans="8:15" ht="13" x14ac:dyDescent="0.15">
      <c r="H905" s="77"/>
      <c r="M905" s="165"/>
      <c r="O905" s="165"/>
    </row>
    <row r="906" spans="8:15" ht="13" x14ac:dyDescent="0.15">
      <c r="H906" s="77"/>
      <c r="M906" s="165"/>
      <c r="O906" s="165"/>
    </row>
    <row r="907" spans="8:15" ht="13" x14ac:dyDescent="0.15">
      <c r="H907" s="77"/>
      <c r="M907" s="165"/>
      <c r="O907" s="165"/>
    </row>
    <row r="908" spans="8:15" ht="13" x14ac:dyDescent="0.15">
      <c r="H908" s="77"/>
      <c r="M908" s="165"/>
      <c r="O908" s="165"/>
    </row>
    <row r="909" spans="8:15" ht="13" x14ac:dyDescent="0.15">
      <c r="H909" s="77"/>
      <c r="M909" s="165"/>
      <c r="O909" s="165"/>
    </row>
    <row r="910" spans="8:15" ht="13" x14ac:dyDescent="0.15">
      <c r="H910" s="77"/>
      <c r="M910" s="165"/>
      <c r="O910" s="165"/>
    </row>
    <row r="911" spans="8:15" ht="13" x14ac:dyDescent="0.15">
      <c r="H911" s="77"/>
      <c r="M911" s="165"/>
      <c r="O911" s="165"/>
    </row>
    <row r="912" spans="8:15" ht="13" x14ac:dyDescent="0.15">
      <c r="H912" s="77"/>
      <c r="M912" s="165"/>
      <c r="O912" s="165"/>
    </row>
    <row r="913" spans="8:15" ht="13" x14ac:dyDescent="0.15">
      <c r="H913" s="77"/>
      <c r="M913" s="165"/>
      <c r="O913" s="165"/>
    </row>
    <row r="914" spans="8:15" ht="13" x14ac:dyDescent="0.15">
      <c r="H914" s="77"/>
      <c r="M914" s="165"/>
      <c r="O914" s="165"/>
    </row>
    <row r="915" spans="8:15" ht="13" x14ac:dyDescent="0.15">
      <c r="H915" s="77"/>
      <c r="M915" s="165"/>
      <c r="O915" s="165"/>
    </row>
    <row r="916" spans="8:15" ht="13" x14ac:dyDescent="0.15">
      <c r="H916" s="77"/>
      <c r="M916" s="165"/>
      <c r="O916" s="165"/>
    </row>
    <row r="917" spans="8:15" ht="13" x14ac:dyDescent="0.15">
      <c r="H917" s="77"/>
      <c r="M917" s="165"/>
      <c r="O917" s="165"/>
    </row>
    <row r="918" spans="8:15" ht="13" x14ac:dyDescent="0.15">
      <c r="H918" s="77"/>
      <c r="M918" s="165"/>
      <c r="O918" s="165"/>
    </row>
    <row r="919" spans="8:15" ht="13" x14ac:dyDescent="0.15">
      <c r="H919" s="77"/>
      <c r="M919" s="165"/>
      <c r="O919" s="165"/>
    </row>
    <row r="920" spans="8:15" ht="13" x14ac:dyDescent="0.15">
      <c r="H920" s="77"/>
      <c r="M920" s="165"/>
      <c r="O920" s="165"/>
    </row>
    <row r="921" spans="8:15" ht="13" x14ac:dyDescent="0.15">
      <c r="H921" s="77"/>
      <c r="M921" s="165"/>
      <c r="O921" s="165"/>
    </row>
    <row r="922" spans="8:15" ht="13" x14ac:dyDescent="0.15">
      <c r="H922" s="77"/>
      <c r="M922" s="165"/>
      <c r="O922" s="165"/>
    </row>
    <row r="923" spans="8:15" ht="13" x14ac:dyDescent="0.15">
      <c r="H923" s="77"/>
      <c r="M923" s="165"/>
      <c r="O923" s="165"/>
    </row>
    <row r="924" spans="8:15" ht="13" x14ac:dyDescent="0.15">
      <c r="H924" s="77"/>
      <c r="M924" s="165"/>
      <c r="O924" s="165"/>
    </row>
    <row r="925" spans="8:15" ht="13" x14ac:dyDescent="0.15">
      <c r="H925" s="77"/>
      <c r="M925" s="165"/>
      <c r="O925" s="165"/>
    </row>
    <row r="926" spans="8:15" ht="13" x14ac:dyDescent="0.15">
      <c r="H926" s="77"/>
      <c r="M926" s="165"/>
      <c r="O926" s="165"/>
    </row>
    <row r="927" spans="8:15" ht="13" x14ac:dyDescent="0.15">
      <c r="H927" s="77"/>
      <c r="M927" s="165"/>
      <c r="O927" s="165"/>
    </row>
    <row r="928" spans="8:15" ht="13" x14ac:dyDescent="0.15">
      <c r="H928" s="77"/>
      <c r="M928" s="165"/>
      <c r="O928" s="165"/>
    </row>
    <row r="929" spans="8:15" ht="13" x14ac:dyDescent="0.15">
      <c r="H929" s="77"/>
      <c r="M929" s="165"/>
      <c r="O929" s="165"/>
    </row>
    <row r="930" spans="8:15" ht="13" x14ac:dyDescent="0.15">
      <c r="H930" s="77"/>
      <c r="M930" s="165"/>
      <c r="O930" s="165"/>
    </row>
    <row r="931" spans="8:15" ht="13" x14ac:dyDescent="0.15">
      <c r="H931" s="77"/>
      <c r="M931" s="165"/>
      <c r="O931" s="165"/>
    </row>
    <row r="932" spans="8:15" ht="13" x14ac:dyDescent="0.15">
      <c r="H932" s="77"/>
      <c r="M932" s="165"/>
      <c r="O932" s="165"/>
    </row>
    <row r="933" spans="8:15" ht="13" x14ac:dyDescent="0.15">
      <c r="H933" s="77"/>
      <c r="M933" s="165"/>
      <c r="O933" s="165"/>
    </row>
    <row r="934" spans="8:15" ht="13" x14ac:dyDescent="0.15">
      <c r="H934" s="77"/>
      <c r="M934" s="165"/>
      <c r="O934" s="165"/>
    </row>
    <row r="935" spans="8:15" ht="13" x14ac:dyDescent="0.15">
      <c r="H935" s="77"/>
      <c r="M935" s="165"/>
      <c r="O935" s="165"/>
    </row>
    <row r="936" spans="8:15" ht="13" x14ac:dyDescent="0.15">
      <c r="H936" s="77"/>
      <c r="M936" s="165"/>
      <c r="O936" s="165"/>
    </row>
    <row r="937" spans="8:15" ht="13" x14ac:dyDescent="0.15">
      <c r="H937" s="77"/>
      <c r="M937" s="165"/>
      <c r="O937" s="165"/>
    </row>
    <row r="938" spans="8:15" ht="13" x14ac:dyDescent="0.15">
      <c r="H938" s="77"/>
      <c r="M938" s="165"/>
      <c r="O938" s="165"/>
    </row>
    <row r="939" spans="8:15" ht="13" x14ac:dyDescent="0.15">
      <c r="H939" s="77"/>
      <c r="M939" s="165"/>
      <c r="O939" s="165"/>
    </row>
    <row r="940" spans="8:15" ht="13" x14ac:dyDescent="0.15">
      <c r="H940" s="77"/>
      <c r="M940" s="165"/>
      <c r="O940" s="165"/>
    </row>
    <row r="941" spans="8:15" ht="13" x14ac:dyDescent="0.15">
      <c r="H941" s="77"/>
      <c r="M941" s="165"/>
      <c r="O941" s="165"/>
    </row>
    <row r="942" spans="8:15" ht="13" x14ac:dyDescent="0.15">
      <c r="H942" s="77"/>
      <c r="M942" s="165"/>
      <c r="O942" s="165"/>
    </row>
    <row r="943" spans="8:15" ht="13" x14ac:dyDescent="0.15">
      <c r="H943" s="77"/>
      <c r="M943" s="165"/>
      <c r="O943" s="165"/>
    </row>
    <row r="944" spans="8:15" ht="13" x14ac:dyDescent="0.15">
      <c r="H944" s="77"/>
      <c r="M944" s="165"/>
      <c r="O944" s="165"/>
    </row>
    <row r="945" spans="8:15" ht="13" x14ac:dyDescent="0.15">
      <c r="H945" s="77"/>
      <c r="M945" s="165"/>
      <c r="O945" s="165"/>
    </row>
    <row r="946" spans="8:15" ht="13" x14ac:dyDescent="0.15">
      <c r="H946" s="77"/>
      <c r="M946" s="165"/>
      <c r="O946" s="165"/>
    </row>
    <row r="947" spans="8:15" ht="13" x14ac:dyDescent="0.15">
      <c r="H947" s="77"/>
      <c r="M947" s="165"/>
      <c r="O947" s="165"/>
    </row>
    <row r="948" spans="8:15" ht="13" x14ac:dyDescent="0.15">
      <c r="H948" s="77"/>
      <c r="M948" s="165"/>
      <c r="O948" s="165"/>
    </row>
    <row r="949" spans="8:15" ht="13" x14ac:dyDescent="0.15">
      <c r="H949" s="77"/>
      <c r="M949" s="165"/>
      <c r="O949" s="165"/>
    </row>
    <row r="950" spans="8:15" ht="13" x14ac:dyDescent="0.15">
      <c r="H950" s="77"/>
      <c r="M950" s="165"/>
      <c r="O950" s="165"/>
    </row>
    <row r="951" spans="8:15" ht="13" x14ac:dyDescent="0.15">
      <c r="H951" s="77"/>
      <c r="M951" s="165"/>
      <c r="O951" s="165"/>
    </row>
    <row r="952" spans="8:15" ht="13" x14ac:dyDescent="0.15">
      <c r="H952" s="77"/>
      <c r="M952" s="165"/>
      <c r="O952" s="165"/>
    </row>
    <row r="953" spans="8:15" ht="13" x14ac:dyDescent="0.15">
      <c r="H953" s="77"/>
      <c r="M953" s="165"/>
      <c r="O953" s="165"/>
    </row>
    <row r="954" spans="8:15" ht="13" x14ac:dyDescent="0.15">
      <c r="H954" s="77"/>
      <c r="M954" s="165"/>
      <c r="O954" s="165"/>
    </row>
    <row r="955" spans="8:15" ht="13" x14ac:dyDescent="0.15">
      <c r="H955" s="77"/>
      <c r="M955" s="165"/>
      <c r="O955" s="165"/>
    </row>
    <row r="956" spans="8:15" ht="13" x14ac:dyDescent="0.15">
      <c r="H956" s="77"/>
      <c r="M956" s="165"/>
      <c r="O956" s="165"/>
    </row>
    <row r="957" spans="8:15" ht="13" x14ac:dyDescent="0.15">
      <c r="H957" s="77"/>
      <c r="M957" s="165"/>
      <c r="O957" s="165"/>
    </row>
    <row r="958" spans="8:15" ht="13" x14ac:dyDescent="0.15">
      <c r="H958" s="77"/>
      <c r="M958" s="165"/>
      <c r="O958" s="165"/>
    </row>
    <row r="959" spans="8:15" ht="13" x14ac:dyDescent="0.15">
      <c r="H959" s="77"/>
      <c r="M959" s="165"/>
      <c r="O959" s="165"/>
    </row>
    <row r="960" spans="8:15" ht="13" x14ac:dyDescent="0.15">
      <c r="H960" s="77"/>
      <c r="M960" s="165"/>
      <c r="O960" s="165"/>
    </row>
    <row r="961" spans="8:15" ht="13" x14ac:dyDescent="0.15">
      <c r="H961" s="77"/>
      <c r="M961" s="165"/>
      <c r="O961" s="165"/>
    </row>
    <row r="962" spans="8:15" ht="13" x14ac:dyDescent="0.15">
      <c r="H962" s="77"/>
      <c r="M962" s="165"/>
      <c r="O962" s="165"/>
    </row>
    <row r="963" spans="8:15" ht="13" x14ac:dyDescent="0.15">
      <c r="H963" s="77"/>
      <c r="M963" s="165"/>
      <c r="O963" s="165"/>
    </row>
    <row r="964" spans="8:15" ht="13" x14ac:dyDescent="0.15">
      <c r="H964" s="77"/>
      <c r="M964" s="165"/>
      <c r="O964" s="165"/>
    </row>
    <row r="965" spans="8:15" ht="13" x14ac:dyDescent="0.15">
      <c r="H965" s="77"/>
      <c r="M965" s="165"/>
      <c r="O965" s="165"/>
    </row>
    <row r="966" spans="8:15" ht="13" x14ac:dyDescent="0.15">
      <c r="H966" s="77"/>
      <c r="M966" s="165"/>
      <c r="O966" s="165"/>
    </row>
    <row r="967" spans="8:15" ht="13" x14ac:dyDescent="0.15">
      <c r="H967" s="77"/>
      <c r="M967" s="165"/>
      <c r="O967" s="165"/>
    </row>
    <row r="968" spans="8:15" ht="13" x14ac:dyDescent="0.15">
      <c r="H968" s="77"/>
      <c r="M968" s="165"/>
      <c r="O968" s="165"/>
    </row>
    <row r="969" spans="8:15" ht="13" x14ac:dyDescent="0.15">
      <c r="H969" s="77"/>
      <c r="M969" s="165"/>
      <c r="O969" s="165"/>
    </row>
    <row r="970" spans="8:15" ht="13" x14ac:dyDescent="0.15">
      <c r="H970" s="77"/>
      <c r="M970" s="165"/>
      <c r="O970" s="165"/>
    </row>
    <row r="971" spans="8:15" ht="13" x14ac:dyDescent="0.15">
      <c r="H971" s="77"/>
      <c r="M971" s="165"/>
      <c r="O971" s="165"/>
    </row>
    <row r="972" spans="8:15" ht="13" x14ac:dyDescent="0.15">
      <c r="H972" s="77"/>
      <c r="M972" s="165"/>
      <c r="O972" s="165"/>
    </row>
    <row r="973" spans="8:15" ht="13" x14ac:dyDescent="0.15">
      <c r="H973" s="77"/>
      <c r="M973" s="165"/>
      <c r="O973" s="165"/>
    </row>
    <row r="974" spans="8:15" ht="13" x14ac:dyDescent="0.15">
      <c r="H974" s="77"/>
      <c r="M974" s="165"/>
      <c r="O974" s="165"/>
    </row>
    <row r="975" spans="8:15" ht="13" x14ac:dyDescent="0.15">
      <c r="H975" s="77"/>
      <c r="M975" s="165"/>
      <c r="O975" s="165"/>
    </row>
    <row r="976" spans="8:15" ht="13" x14ac:dyDescent="0.15">
      <c r="H976" s="77"/>
      <c r="M976" s="165"/>
      <c r="O976" s="165"/>
    </row>
    <row r="977" spans="8:15" ht="13" x14ac:dyDescent="0.15">
      <c r="H977" s="77"/>
      <c r="M977" s="165"/>
      <c r="O977" s="165"/>
    </row>
    <row r="978" spans="8:15" ht="13" x14ac:dyDescent="0.15">
      <c r="H978" s="77"/>
      <c r="M978" s="165"/>
      <c r="O978" s="165"/>
    </row>
    <row r="979" spans="8:15" ht="13" x14ac:dyDescent="0.15">
      <c r="H979" s="77"/>
      <c r="M979" s="165"/>
      <c r="O979" s="165"/>
    </row>
    <row r="980" spans="8:15" ht="13" x14ac:dyDescent="0.15">
      <c r="H980" s="77"/>
      <c r="M980" s="165"/>
      <c r="O980" s="165"/>
    </row>
    <row r="981" spans="8:15" ht="13" x14ac:dyDescent="0.15">
      <c r="H981" s="77"/>
      <c r="M981" s="165"/>
      <c r="O981" s="165"/>
    </row>
    <row r="982" spans="8:15" ht="13" x14ac:dyDescent="0.15">
      <c r="H982" s="77"/>
      <c r="M982" s="165"/>
      <c r="O982" s="165"/>
    </row>
    <row r="983" spans="8:15" ht="13" x14ac:dyDescent="0.15">
      <c r="H983" s="77"/>
      <c r="M983" s="165"/>
      <c r="O983" s="165"/>
    </row>
    <row r="984" spans="8:15" ht="13" x14ac:dyDescent="0.15">
      <c r="H984" s="77"/>
      <c r="M984" s="165"/>
      <c r="O984" s="165"/>
    </row>
    <row r="985" spans="8:15" ht="13" x14ac:dyDescent="0.15">
      <c r="H985" s="77"/>
      <c r="M985" s="165"/>
      <c r="O985" s="165"/>
    </row>
    <row r="986" spans="8:15" ht="13" x14ac:dyDescent="0.15">
      <c r="H986" s="77"/>
      <c r="M986" s="165"/>
      <c r="O986" s="165"/>
    </row>
    <row r="987" spans="8:15" ht="13" x14ac:dyDescent="0.15">
      <c r="H987" s="77"/>
      <c r="M987" s="165"/>
      <c r="O987" s="165"/>
    </row>
    <row r="988" spans="8:15" ht="13" x14ac:dyDescent="0.15">
      <c r="H988" s="77"/>
      <c r="M988" s="165"/>
      <c r="O988" s="165"/>
    </row>
    <row r="989" spans="8:15" ht="13" x14ac:dyDescent="0.15">
      <c r="H989" s="77"/>
      <c r="M989" s="165"/>
      <c r="O989" s="165"/>
    </row>
    <row r="990" spans="8:15" ht="13" x14ac:dyDescent="0.15">
      <c r="H990" s="77"/>
      <c r="M990" s="165"/>
      <c r="O990" s="165"/>
    </row>
    <row r="991" spans="8:15" ht="13" x14ac:dyDescent="0.15">
      <c r="H991" s="77"/>
      <c r="M991" s="165"/>
      <c r="O991" s="165"/>
    </row>
    <row r="992" spans="8:15" ht="13" x14ac:dyDescent="0.15">
      <c r="H992" s="77"/>
      <c r="M992" s="165"/>
      <c r="O992" s="165"/>
    </row>
    <row r="993" spans="8:15" ht="13" x14ac:dyDescent="0.15">
      <c r="H993" s="77"/>
      <c r="M993" s="165"/>
      <c r="O993" s="165"/>
    </row>
    <row r="994" spans="8:15" ht="13" x14ac:dyDescent="0.15">
      <c r="H994" s="77"/>
      <c r="M994" s="165"/>
      <c r="O994" s="165"/>
    </row>
    <row r="995" spans="8:15" ht="13" x14ac:dyDescent="0.15">
      <c r="H995" s="77"/>
      <c r="M995" s="165"/>
      <c r="O995" s="165"/>
    </row>
    <row r="996" spans="8:15" ht="13" x14ac:dyDescent="0.15">
      <c r="H996" s="77"/>
      <c r="M996" s="165"/>
      <c r="O996" s="165"/>
    </row>
    <row r="997" spans="8:15" ht="13" x14ac:dyDescent="0.15">
      <c r="H997" s="77"/>
      <c r="M997" s="165"/>
      <c r="O997" s="165"/>
    </row>
    <row r="998" spans="8:15" ht="13" x14ac:dyDescent="0.15">
      <c r="H998" s="77"/>
      <c r="M998" s="165"/>
      <c r="O998" s="165"/>
    </row>
    <row r="999" spans="8:15" ht="13" x14ac:dyDescent="0.15">
      <c r="H999" s="77"/>
      <c r="M999" s="165"/>
      <c r="O999" s="165"/>
    </row>
    <row r="1000" spans="8:15" ht="13" x14ac:dyDescent="0.15">
      <c r="H1000" s="77"/>
      <c r="M1000" s="165"/>
      <c r="O1000" s="165"/>
    </row>
    <row r="1001" spans="8:15" ht="13" x14ac:dyDescent="0.15">
      <c r="H1001" s="77"/>
      <c r="M1001" s="165"/>
      <c r="O1001" s="165"/>
    </row>
  </sheetData>
  <autoFilter ref="A1:AB1001" xr:uid="{00000000-0009-0000-0000-000011000000}"/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N11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12.6640625" defaultRowHeight="15.75" customHeight="1" x14ac:dyDescent="0.15"/>
  <sheetData>
    <row r="1" spans="1:14" ht="15.75" customHeight="1" x14ac:dyDescent="0.15">
      <c r="A1" s="67" t="s">
        <v>920</v>
      </c>
      <c r="B1" s="67" t="s">
        <v>502</v>
      </c>
      <c r="C1" s="154" t="s">
        <v>510</v>
      </c>
      <c r="D1" s="154" t="s">
        <v>921</v>
      </c>
      <c r="E1" s="67" t="s">
        <v>509</v>
      </c>
      <c r="F1" s="109"/>
      <c r="G1" s="67" t="s">
        <v>920</v>
      </c>
      <c r="H1" s="67" t="s">
        <v>502</v>
      </c>
      <c r="I1" s="123" t="s">
        <v>510</v>
      </c>
      <c r="J1" s="67" t="s">
        <v>509</v>
      </c>
      <c r="K1" s="183" t="s">
        <v>510</v>
      </c>
      <c r="L1" s="2" t="s">
        <v>86</v>
      </c>
      <c r="M1" s="183" t="s">
        <v>510</v>
      </c>
      <c r="N1" s="2" t="s">
        <v>85</v>
      </c>
    </row>
    <row r="2" spans="1:14" ht="15.75" customHeight="1" x14ac:dyDescent="0.15">
      <c r="A2" s="73" t="s">
        <v>520</v>
      </c>
      <c r="B2" s="84" t="s">
        <v>521</v>
      </c>
      <c r="C2" s="184" t="s">
        <v>922</v>
      </c>
      <c r="D2" s="79" t="s">
        <v>525</v>
      </c>
      <c r="E2" s="79" t="s">
        <v>525</v>
      </c>
      <c r="F2" s="77"/>
      <c r="G2" s="73" t="s">
        <v>520</v>
      </c>
      <c r="H2" s="84" t="s">
        <v>521</v>
      </c>
      <c r="I2" s="185" t="str">
        <f ca="1">IFERROR(__xludf.DUMMYFUNCTION("IF(D2=E2,C2,GOOGLEFINANCE(CONCATENATE(D2,E2))*C2)"),"1085.71")</f>
        <v>1085.71</v>
      </c>
      <c r="J2" s="79" t="s">
        <v>525</v>
      </c>
      <c r="K2" s="78">
        <f ca="1">IFERROR(__xludf.DUMMYFUNCTION("VALUE(IF(D2=""USD"",C2,IF(D2=""EUR"",C2/GOOGLEFINANCE(CONCATENATE(L2,N2)),IF(D2=E2,C2/GOOGLEFINANCE(CONCATENATE(L2,J2))))))"),12.56761964)</f>
        <v>12.56761964</v>
      </c>
      <c r="L2" s="186" t="s">
        <v>86</v>
      </c>
      <c r="M2" s="78">
        <f ca="1">IFERROR(__xludf.DUMMYFUNCTION("VALUE(IF(D2=""EUR"",C2,IF(D2=""USD"",GOOGLEFINANCE(CONCATENATE(L2,N2))*C2,IF(D2=E2,C2/GOOGLEFINANCE(CONCATENATE(N2,J2))))))"),12.77275001)</f>
        <v>12.772750009999999</v>
      </c>
      <c r="N2" s="186" t="s">
        <v>85</v>
      </c>
    </row>
    <row r="3" spans="1:14" ht="15.75" customHeight="1" x14ac:dyDescent="0.15">
      <c r="A3" s="73" t="s">
        <v>52</v>
      </c>
      <c r="B3" s="74" t="s">
        <v>88</v>
      </c>
      <c r="C3" s="131" t="s">
        <v>923</v>
      </c>
      <c r="D3" s="79" t="s">
        <v>89</v>
      </c>
      <c r="E3" s="79" t="s">
        <v>89</v>
      </c>
      <c r="F3" s="77"/>
      <c r="G3" s="73" t="s">
        <v>52</v>
      </c>
      <c r="H3" s="74" t="s">
        <v>88</v>
      </c>
      <c r="I3" s="185" t="str">
        <f ca="1">IFERROR(__xludf.DUMMYFUNCTION("IF(D3=E3,C3,GOOGLEFINANCE(CONCATENATE(D3,E3))*C3)"),"3,529.83")</f>
        <v>3,529.83</v>
      </c>
      <c r="J3" s="79" t="s">
        <v>89</v>
      </c>
      <c r="K3" s="78">
        <f ca="1">IFERROR(__xludf.DUMMYFUNCTION("VALUE(IF(D3=""USD"",C3,IF(D3=""EUR"",C3/GOOGLEFINANCE(CONCATENATE(L3,N3)),IF(D3=E3,C3/GOOGLEFINANCE(CONCATENATE(L3,J3))))))"),29.65800074)</f>
        <v>29.658000739999999</v>
      </c>
      <c r="L3" s="186" t="s">
        <v>86</v>
      </c>
      <c r="M3" s="78">
        <f ca="1">IFERROR(__xludf.DUMMYFUNCTION("VALUE(IF(D3=""EUR"",C3,IF(D3=""USD"",GOOGLEFINANCE(CONCATENATE(L3,N3))*C3,IF(D3=E3,C3/GOOGLEFINANCE(CONCATENATE(N3,J3))))))"),30.14208259)</f>
        <v>30.142082590000001</v>
      </c>
      <c r="N3" s="186" t="s">
        <v>85</v>
      </c>
    </row>
    <row r="4" spans="1:14" ht="15.75" customHeight="1" x14ac:dyDescent="0.15">
      <c r="A4" s="73" t="s">
        <v>588</v>
      </c>
      <c r="B4" s="74" t="s">
        <v>589</v>
      </c>
      <c r="C4" s="131" t="s">
        <v>924</v>
      </c>
      <c r="D4" s="79" t="s">
        <v>280</v>
      </c>
      <c r="E4" s="79" t="s">
        <v>280</v>
      </c>
      <c r="F4" s="77"/>
      <c r="G4" s="73" t="s">
        <v>588</v>
      </c>
      <c r="H4" s="74" t="s">
        <v>589</v>
      </c>
      <c r="I4" s="185" t="str">
        <f ca="1">IFERROR(__xludf.DUMMYFUNCTION("IF(D4=E4,C4,GOOGLEFINANCE(CONCATENATE(D4,E4))*C4)"),"2,265.22")</f>
        <v>2,265.22</v>
      </c>
      <c r="J4" s="79" t="s">
        <v>280</v>
      </c>
      <c r="K4" s="78">
        <f ca="1">IFERROR(__xludf.DUMMYFUNCTION("VALUE(IF(D4=""USD"",C4,IF(D4=""EUR"",C4/GOOGLEFINANCE(CONCATENATE(L4,N4)),IF(D4=E4,C4/GOOGLEFINANCE(CONCATENATE(L4,J4))))))"),16.09106731)</f>
        <v>16.09106731</v>
      </c>
      <c r="L4" s="186" t="s">
        <v>86</v>
      </c>
      <c r="M4" s="78">
        <f ca="1">IFERROR(__xludf.DUMMYFUNCTION("VALUE(IF(D4=""EUR"",C4,IF(D4=""USD"",GOOGLEFINANCE(CONCATENATE(L4,N4))*C4,IF(D4=E4,C4/GOOGLEFINANCE(CONCATENATE(N4,J4))))))"),16.35370785)</f>
        <v>16.353707849999999</v>
      </c>
      <c r="N4" s="186" t="s">
        <v>85</v>
      </c>
    </row>
    <row r="5" spans="1:14" ht="15.75" customHeight="1" x14ac:dyDescent="0.15">
      <c r="A5" s="73" t="s">
        <v>511</v>
      </c>
      <c r="B5" s="74" t="s">
        <v>512</v>
      </c>
      <c r="C5" s="131" t="s">
        <v>925</v>
      </c>
      <c r="D5" s="79" t="s">
        <v>85</v>
      </c>
      <c r="E5" s="79" t="s">
        <v>85</v>
      </c>
      <c r="F5" s="77"/>
      <c r="G5" s="73" t="s">
        <v>511</v>
      </c>
      <c r="H5" s="74" t="s">
        <v>512</v>
      </c>
      <c r="I5" s="185" t="str">
        <f ca="1">IFERROR(__xludf.DUMMYFUNCTION("IF(D5=E5,C5,GOOGLEFINANCE(CONCATENATE(D5,E5))*C5)"),"37.75")</f>
        <v>37.75</v>
      </c>
      <c r="J5" s="79" t="s">
        <v>85</v>
      </c>
      <c r="K5" s="78">
        <f ca="1">IFERROR(__xludf.DUMMYFUNCTION("VALUE(IF(D5=""USD"",C5,IF(D5=""EUR"",C5/GOOGLEFINANCE(CONCATENATE(L5,N5)),IF(D5=E5,C5/GOOGLEFINANCE(CONCATENATE(L5,J5))))))"),37.14180298)</f>
        <v>37.141802980000001</v>
      </c>
      <c r="L5" s="186" t="s">
        <v>86</v>
      </c>
      <c r="M5" s="78">
        <f ca="1">IFERROR(__xludf.DUMMYFUNCTION("VALUE(IF(D5=""EUR"",C5,IF(D5=""USD"",GOOGLEFINANCE(CONCATENATE(L5,N5))*C5,IF(D5=E5,C5/GOOGLEFINANCE(CONCATENATE(N5,J5))))))"),37.75)</f>
        <v>37.75</v>
      </c>
      <c r="N5" s="186" t="s">
        <v>85</v>
      </c>
    </row>
    <row r="6" spans="1:14" ht="15.75" customHeight="1" x14ac:dyDescent="0.15">
      <c r="A6" s="73" t="s">
        <v>83</v>
      </c>
      <c r="B6" s="74" t="s">
        <v>90</v>
      </c>
      <c r="C6" s="131" t="s">
        <v>926</v>
      </c>
      <c r="D6" s="97" t="s">
        <v>86</v>
      </c>
      <c r="E6" s="85" t="s">
        <v>91</v>
      </c>
      <c r="F6" s="77"/>
      <c r="G6" s="73" t="s">
        <v>83</v>
      </c>
      <c r="H6" s="74" t="s">
        <v>90</v>
      </c>
      <c r="I6" s="185">
        <f ca="1">IFERROR(__xludf.DUMMYFUNCTION("IF(D6=E6,C6,GOOGLEFINANCE(CONCATENATE(D6,E6))*C6)"),3483.7059)</f>
        <v>3483.7058999999999</v>
      </c>
      <c r="J6" s="85" t="s">
        <v>91</v>
      </c>
      <c r="K6" s="78">
        <f ca="1">IFERROR(__xludf.DUMMYFUNCTION("VALUE(IF(D6=""USD"",C6,IF(D6=""EUR"",C6/GOOGLEFINANCE(CONCATENATE(L6,N6)),IF(D6=E6,C6/GOOGLEFINANCE(CONCATENATE(L6,J6))))))"),22.65)</f>
        <v>22.65</v>
      </c>
      <c r="L6" s="186" t="s">
        <v>86</v>
      </c>
      <c r="M6" s="78">
        <f ca="1">IFERROR(__xludf.DUMMYFUNCTION("VALUE(IF(D6=""EUR"",C6,IF(D6=""USD"",GOOGLEFINANCE(CONCATENATE(L6,N6))*C6,IF(D6=E6,C6/GOOGLEFINANCE(CONCATENATE(N6,J6))))))"),23.02089375)</f>
        <v>23.020893749999999</v>
      </c>
      <c r="N6" s="186" t="s">
        <v>85</v>
      </c>
    </row>
    <row r="7" spans="1:14" ht="15.75" customHeight="1" x14ac:dyDescent="0.15">
      <c r="A7" s="73" t="s">
        <v>528</v>
      </c>
      <c r="B7" s="74" t="s">
        <v>216</v>
      </c>
      <c r="C7" s="131" t="s">
        <v>927</v>
      </c>
      <c r="D7" s="79" t="s">
        <v>217</v>
      </c>
      <c r="E7" s="79" t="s">
        <v>217</v>
      </c>
      <c r="F7" s="77"/>
      <c r="G7" s="73" t="s">
        <v>528</v>
      </c>
      <c r="H7" s="74" t="s">
        <v>216</v>
      </c>
      <c r="I7" s="185" t="str">
        <f ca="1">IFERROR(__xludf.DUMMYFUNCTION("IF(D7=E7,C7,GOOGLEFINANCE(CONCATENATE(D7,E7))*C7)"),"23,934.78")</f>
        <v>23,934.78</v>
      </c>
      <c r="J7" s="79" t="s">
        <v>217</v>
      </c>
      <c r="K7" s="78">
        <f ca="1">IFERROR(__xludf.DUMMYFUNCTION("VALUE(IF(D7=""USD"",C7,IF(D7=""EUR"",C7/GOOGLEFINANCE(CONCATENATE(L7,N7)),IF(D7=E7,C7/GOOGLEFINANCE(CONCATENATE(L7,J7))))))"),59.90873564)</f>
        <v>59.908735640000003</v>
      </c>
      <c r="L7" s="186" t="s">
        <v>86</v>
      </c>
      <c r="M7" s="78">
        <f ca="1">IFERROR(__xludf.DUMMYFUNCTION("VALUE(IF(D7=""EUR"",C7,IF(D7=""USD"",GOOGLEFINANCE(CONCATENATE(L7,N7))*C7,IF(D7=E7,C7/GOOGLEFINANCE(CONCATENATE(N7,J7))))))"),60.88657403)</f>
        <v>60.886574029999998</v>
      </c>
      <c r="N7" s="186" t="s">
        <v>85</v>
      </c>
    </row>
    <row r="8" spans="1:14" ht="15.75" customHeight="1" x14ac:dyDescent="0.15">
      <c r="A8" s="73" t="s">
        <v>57</v>
      </c>
      <c r="B8" s="74" t="s">
        <v>92</v>
      </c>
      <c r="C8" s="131" t="s">
        <v>928</v>
      </c>
      <c r="D8" s="79" t="s">
        <v>93</v>
      </c>
      <c r="E8" s="79" t="s">
        <v>93</v>
      </c>
      <c r="F8" s="77"/>
      <c r="G8" s="73" t="s">
        <v>57</v>
      </c>
      <c r="H8" s="74" t="s">
        <v>92</v>
      </c>
      <c r="I8" s="185" t="str">
        <f ca="1">IFERROR(__xludf.DUMMYFUNCTION("IF(D8=E8,C8,GOOGLEFINANCE(CONCATENATE(D8,E8))*C8)"),"67.65")</f>
        <v>67.65</v>
      </c>
      <c r="J8" s="79" t="s">
        <v>93</v>
      </c>
      <c r="K8" s="78">
        <f ca="1">IFERROR(__xludf.DUMMYFUNCTION("VALUE(IF(D8=""USD"",C8,IF(D8=""EUR"",C8/GOOGLEFINANCE(CONCATENATE(L8,N8)),IF(D8=E8,C8/GOOGLEFINANCE(CONCATENATE(L8,J8))))))"),42.70914222)</f>
        <v>42.709142219999997</v>
      </c>
      <c r="L8" s="186" t="s">
        <v>86</v>
      </c>
      <c r="M8" s="78">
        <f ca="1">IFERROR(__xludf.DUMMYFUNCTION("VALUE(IF(D8=""EUR"",C8,IF(D8=""USD"",GOOGLEFINANCE(CONCATENATE(L8,N8))*C8,IF(D8=E8,C8/GOOGLEFINANCE(CONCATENATE(N8,J8))))))"),43.3930616)</f>
        <v>43.393061600000003</v>
      </c>
      <c r="N8" s="186" t="s">
        <v>85</v>
      </c>
    </row>
    <row r="9" spans="1:14" ht="15.75" customHeight="1" x14ac:dyDescent="0.15">
      <c r="A9" s="73" t="s">
        <v>28</v>
      </c>
      <c r="B9" s="74" t="s">
        <v>94</v>
      </c>
      <c r="C9" s="131" t="s">
        <v>929</v>
      </c>
      <c r="D9" s="79" t="s">
        <v>85</v>
      </c>
      <c r="E9" s="79" t="s">
        <v>85</v>
      </c>
      <c r="F9" s="77"/>
      <c r="G9" s="73" t="s">
        <v>28</v>
      </c>
      <c r="H9" s="74" t="s">
        <v>94</v>
      </c>
      <c r="I9" s="185" t="str">
        <f ca="1">IFERROR(__xludf.DUMMYFUNCTION("IF(D9=E9,C9,GOOGLEFINANCE(CONCATENATE(D9,E9))*C9)"),"34.55")</f>
        <v>34.55</v>
      </c>
      <c r="J9" s="79" t="s">
        <v>85</v>
      </c>
      <c r="K9" s="78">
        <f ca="1">IFERROR(__xludf.DUMMYFUNCTION("VALUE(IF(D9=""USD"",C9,IF(D9=""EUR"",C9/GOOGLEFINANCE(CONCATENATE(L9,N9)),IF(D9=E9,C9/GOOGLEFINANCE(CONCATENATE(L9,J9))))))"),33.99335875)</f>
        <v>33.993358749999999</v>
      </c>
      <c r="L9" s="186" t="s">
        <v>86</v>
      </c>
      <c r="M9" s="78">
        <f ca="1">IFERROR(__xludf.DUMMYFUNCTION("VALUE(IF(D9=""EUR"",C9,IF(D9=""USD"",GOOGLEFINANCE(CONCATENATE(L9,N9))*C9,IF(D9=E9,C9/GOOGLEFINANCE(CONCATENATE(N9,J9))))))"),34.55)</f>
        <v>34.549999999999997</v>
      </c>
      <c r="N9" s="186" t="s">
        <v>85</v>
      </c>
    </row>
    <row r="10" spans="1:14" ht="15.75" customHeight="1" x14ac:dyDescent="0.15">
      <c r="A10" s="73" t="s">
        <v>535</v>
      </c>
      <c r="B10" s="74" t="s">
        <v>536</v>
      </c>
      <c r="C10" s="131" t="s">
        <v>930</v>
      </c>
      <c r="D10" s="79" t="s">
        <v>224</v>
      </c>
      <c r="E10" s="79" t="s">
        <v>224</v>
      </c>
      <c r="F10" s="77"/>
      <c r="G10" s="73" t="s">
        <v>535</v>
      </c>
      <c r="H10" s="74" t="s">
        <v>536</v>
      </c>
      <c r="I10" s="185" t="str">
        <f ca="1">IFERROR(__xludf.DUMMYFUNCTION("IF(D10=E10,C10,GOOGLEFINANCE(CONCATENATE(D10,E10))*C10)"),"52.30")</f>
        <v>52.30</v>
      </c>
      <c r="J10" s="79" t="s">
        <v>224</v>
      </c>
      <c r="K10" s="78">
        <f ca="1">IFERROR(__xludf.DUMMYFUNCTION("VALUE(IF(D10=""USD"",C10,IF(D10=""EUR"",C10/GOOGLEFINANCE(CONCATENATE(L10,N10)),IF(D10=E10,C10/GOOGLEFINANCE(CONCATENATE(L10,J10))))))"),30.76470588)</f>
        <v>30.764705880000001</v>
      </c>
      <c r="L10" s="186" t="s">
        <v>86</v>
      </c>
      <c r="M10" s="78">
        <f ca="1">IFERROR(__xludf.DUMMYFUNCTION("VALUE(IF(D10=""EUR"",C10,IF(D10=""USD"",GOOGLEFINANCE(CONCATENATE(L10,N10))*C10,IF(D10=E10,C10/GOOGLEFINANCE(CONCATENATE(N10,J10))))))"),31.26685152)</f>
        <v>31.266851519999999</v>
      </c>
      <c r="N10" s="186" t="s">
        <v>85</v>
      </c>
    </row>
    <row r="11" spans="1:14" ht="15.75" customHeight="1" x14ac:dyDescent="0.15">
      <c r="A11" s="73" t="s">
        <v>547</v>
      </c>
      <c r="B11" s="74" t="s">
        <v>548</v>
      </c>
      <c r="C11" s="131" t="s">
        <v>931</v>
      </c>
      <c r="D11" s="79" t="s">
        <v>244</v>
      </c>
      <c r="E11" s="79" t="s">
        <v>244</v>
      </c>
      <c r="F11" s="77"/>
      <c r="G11" s="73" t="s">
        <v>547</v>
      </c>
      <c r="H11" s="74" t="s">
        <v>548</v>
      </c>
      <c r="I11" s="185" t="str">
        <f ca="1">IFERROR(__xludf.DUMMYFUNCTION("IF(D11=E11,C11,GOOGLEFINANCE(CONCATENATE(D11,E11))*C11)"),"81.21")</f>
        <v>81.21</v>
      </c>
      <c r="J11" s="79" t="s">
        <v>244</v>
      </c>
      <c r="K11" s="78">
        <f ca="1">IFERROR(__xludf.DUMMYFUNCTION("VALUE(IF(D11=""USD"",C11,IF(D11=""EUR"",C11/GOOGLEFINANCE(CONCATENATE(L11,N11)),IF(D11=E11,C11/GOOGLEFINANCE(CONCATENATE(L11,J11))))))"),32.32556594)</f>
        <v>32.325565939999997</v>
      </c>
      <c r="L11" s="186" t="s">
        <v>86</v>
      </c>
      <c r="M11" s="78">
        <f ca="1">IFERROR(__xludf.DUMMYFUNCTION("VALUE(IF(D11=""EUR"",C11,IF(D11=""USD"",GOOGLEFINANCE(CONCATENATE(L11,N11))*C11,IF(D11=E11,C11/GOOGLEFINANCE(CONCATENATE(N11,J11))))))"),32.85318815)</f>
        <v>32.853188150000001</v>
      </c>
      <c r="N11" s="186" t="s">
        <v>85</v>
      </c>
    </row>
    <row r="12" spans="1:14" ht="15.75" customHeight="1" x14ac:dyDescent="0.15">
      <c r="A12" s="73" t="s">
        <v>537</v>
      </c>
      <c r="B12" s="74" t="s">
        <v>538</v>
      </c>
      <c r="C12" s="131" t="s">
        <v>932</v>
      </c>
      <c r="D12" s="79" t="s">
        <v>85</v>
      </c>
      <c r="E12" s="79" t="s">
        <v>85</v>
      </c>
      <c r="F12" s="77"/>
      <c r="G12" s="73" t="s">
        <v>537</v>
      </c>
      <c r="H12" s="74" t="s">
        <v>538</v>
      </c>
      <c r="I12" s="185" t="str">
        <f ca="1">IFERROR(__xludf.DUMMYFUNCTION("IF(D12=E12,C12,GOOGLEFINANCE(CONCATENATE(D12,E12))*C12)"),"27.20")</f>
        <v>27.20</v>
      </c>
      <c r="J12" s="79" t="s">
        <v>85</v>
      </c>
      <c r="K12" s="78">
        <f ca="1">IFERROR(__xludf.DUMMYFUNCTION("VALUE(IF(D12=""USD"",C12,IF(D12=""EUR"",C12/GOOGLEFINANCE(CONCATENATE(L12,N12)),IF(D12=E12,C12/GOOGLEFINANCE(CONCATENATE(L12,J12))))))"),26.76177592)</f>
        <v>26.761775920000002</v>
      </c>
      <c r="L12" s="186" t="s">
        <v>86</v>
      </c>
      <c r="M12" s="78">
        <f ca="1">IFERROR(__xludf.DUMMYFUNCTION("VALUE(IF(D12=""EUR"",C12,IF(D12=""USD"",GOOGLEFINANCE(CONCATENATE(L12,N12))*C12,IF(D12=E12,C12/GOOGLEFINANCE(CONCATENATE(N12,J12))))))"),27.2)</f>
        <v>27.2</v>
      </c>
      <c r="N12" s="186" t="s">
        <v>85</v>
      </c>
    </row>
    <row r="13" spans="1:14" ht="15.75" customHeight="1" x14ac:dyDescent="0.15">
      <c r="A13" s="73" t="s">
        <v>541</v>
      </c>
      <c r="B13" s="74" t="s">
        <v>542</v>
      </c>
      <c r="C13" s="131" t="s">
        <v>933</v>
      </c>
      <c r="D13" s="79" t="s">
        <v>236</v>
      </c>
      <c r="E13" s="79" t="s">
        <v>236</v>
      </c>
      <c r="F13" s="77"/>
      <c r="G13" s="73" t="s">
        <v>541</v>
      </c>
      <c r="H13" s="74" t="s">
        <v>542</v>
      </c>
      <c r="I13" s="185" t="str">
        <f ca="1">IFERROR(__xludf.DUMMYFUNCTION("IF(D13=E13,C13,GOOGLEFINANCE(CONCATENATE(D13,E13))*C13)"),"281.74")</f>
        <v>281.74</v>
      </c>
      <c r="J13" s="79" t="s">
        <v>236</v>
      </c>
      <c r="K13" s="78">
        <f ca="1">IFERROR(__xludf.DUMMYFUNCTION("VALUE(IF(D13=""USD"",C13,IF(D13=""EUR"",C13/GOOGLEFINANCE(CONCATENATE(L13,N13)),IF(D13=E13,C13/GOOGLEFINANCE(CONCATENATE(L13,J13))))))"),41.17331828)</f>
        <v>41.173318279999997</v>
      </c>
      <c r="L13" s="186" t="s">
        <v>86</v>
      </c>
      <c r="M13" s="78">
        <f ca="1">IFERROR(__xludf.DUMMYFUNCTION("VALUE(IF(D13=""EUR"",C13,IF(D13=""USD"",GOOGLEFINANCE(CONCATENATE(L13,N13))*C13,IF(D13=E13,C13/GOOGLEFINANCE(CONCATENATE(N13,J13))))))"),41.84535467)</f>
        <v>41.845354669999999</v>
      </c>
      <c r="N13" s="186" t="s">
        <v>85</v>
      </c>
    </row>
    <row r="14" spans="1:14" ht="15.75" customHeight="1" x14ac:dyDescent="0.15">
      <c r="A14" s="73" t="s">
        <v>53</v>
      </c>
      <c r="B14" s="74" t="s">
        <v>95</v>
      </c>
      <c r="C14" s="131" t="s">
        <v>934</v>
      </c>
      <c r="D14" s="79" t="s">
        <v>96</v>
      </c>
      <c r="E14" s="79" t="s">
        <v>96</v>
      </c>
      <c r="F14" s="77"/>
      <c r="G14" s="73" t="s">
        <v>53</v>
      </c>
      <c r="H14" s="74" t="s">
        <v>95</v>
      </c>
      <c r="I14" s="185" t="str">
        <f ca="1">IFERROR(__xludf.DUMMYFUNCTION("IF(D14=E14,C14,GOOGLEFINANCE(CONCATENATE(D14,E14))*C14)"),"41.76")</f>
        <v>41.76</v>
      </c>
      <c r="J14" s="79" t="s">
        <v>96</v>
      </c>
      <c r="K14" s="78">
        <f ca="1">IFERROR(__xludf.DUMMYFUNCTION("VALUE(IF(D14=""USD"",C14,IF(D14=""EUR"",C14/GOOGLEFINANCE(CONCATENATE(L14,N14)),IF(D14=E14,C14/GOOGLEFINANCE(CONCATENATE(L14,J14))))))"),21.02262802)</f>
        <v>21.022628019999999</v>
      </c>
      <c r="L14" s="186" t="s">
        <v>86</v>
      </c>
      <c r="M14" s="78">
        <f ca="1">IFERROR(__xludf.DUMMYFUNCTION("VALUE(IF(D14=""EUR"",C14,IF(D14=""USD"",GOOGLEFINANCE(CONCATENATE(L14,N14))*C14,IF(D14=E14,C14/GOOGLEFINANCE(CONCATENATE(N14,J14))))))"),21.36576216)</f>
        <v>21.365762159999999</v>
      </c>
      <c r="N14" s="186" t="s">
        <v>85</v>
      </c>
    </row>
    <row r="15" spans="1:14" ht="15.75" customHeight="1" x14ac:dyDescent="0.15">
      <c r="A15" s="73" t="s">
        <v>77</v>
      </c>
      <c r="B15" s="74" t="s">
        <v>97</v>
      </c>
      <c r="C15" s="131" t="s">
        <v>935</v>
      </c>
      <c r="D15" s="79" t="s">
        <v>98</v>
      </c>
      <c r="E15" s="79" t="s">
        <v>98</v>
      </c>
      <c r="F15" s="77"/>
      <c r="G15" s="73" t="s">
        <v>77</v>
      </c>
      <c r="H15" s="74" t="s">
        <v>97</v>
      </c>
      <c r="I15" s="185" t="str">
        <f ca="1">IFERROR(__xludf.DUMMYFUNCTION("IF(D15=E15,C15,GOOGLEFINANCE(CONCATENATE(D15,E15))*C15)"),"111.70")</f>
        <v>111.70</v>
      </c>
      <c r="J15" s="79" t="s">
        <v>98</v>
      </c>
      <c r="K15" s="78">
        <f ca="1">IFERROR(__xludf.DUMMYFUNCTION("VALUE(IF(D15=""USD"",C15,IF(D15=""EUR"",C15/GOOGLEFINANCE(CONCATENATE(L15,N15)),IF(D15=E15,C15/GOOGLEFINANCE(CONCATENATE(L15,J15))))))"),21.62549369)</f>
        <v>21.625493689999999</v>
      </c>
      <c r="L15" s="186" t="s">
        <v>86</v>
      </c>
      <c r="M15" s="78">
        <f ca="1">IFERROR(__xludf.DUMMYFUNCTION("VALUE(IF(D15=""EUR"",C15,IF(D15=""USD"",GOOGLEFINANCE(CONCATENATE(L15,N15))*C15,IF(D15=E15,C15/GOOGLEFINANCE(CONCATENATE(N15,J15))))))"),21.97846788)</f>
        <v>21.97846788</v>
      </c>
      <c r="N15" s="186" t="s">
        <v>85</v>
      </c>
    </row>
    <row r="16" spans="1:14" ht="15.75" customHeight="1" x14ac:dyDescent="0.15">
      <c r="A16" s="73" t="s">
        <v>54</v>
      </c>
      <c r="B16" s="74" t="s">
        <v>99</v>
      </c>
      <c r="C16" s="131" t="s">
        <v>936</v>
      </c>
      <c r="D16" s="79" t="s">
        <v>100</v>
      </c>
      <c r="E16" s="79" t="s">
        <v>100</v>
      </c>
      <c r="F16" s="77"/>
      <c r="G16" s="73" t="s">
        <v>54</v>
      </c>
      <c r="H16" s="74" t="s">
        <v>99</v>
      </c>
      <c r="I16" s="185" t="str">
        <f ca="1">IFERROR(__xludf.DUMMYFUNCTION("IF(D16=E16,C16,GOOGLEFINANCE(CONCATENATE(D16,E16))*C16)"),"47.49")</f>
        <v>47.49</v>
      </c>
      <c r="J16" s="79" t="s">
        <v>100</v>
      </c>
      <c r="K16" s="78">
        <f ca="1">IFERROR(__xludf.DUMMYFUNCTION("VALUE(IF(D16=""USD"",C16,IF(D16=""EUR"",C16/GOOGLEFINANCE(CONCATENATE(L16,N16)),IF(D16=E16,C16/GOOGLEFINANCE(CONCATENATE(L16,J16))))))"),23.90841401)</f>
        <v>23.908414010000001</v>
      </c>
      <c r="L16" s="186" t="s">
        <v>86</v>
      </c>
      <c r="M16" s="78">
        <f ca="1">IFERROR(__xludf.DUMMYFUNCTION("VALUE(IF(D16=""EUR"",C16,IF(D16=""USD"",GOOGLEFINANCE(CONCATENATE(L16,N16))*C16,IF(D16=E16,C16/GOOGLEFINANCE(CONCATENATE(N16,J16))))))"),24.29865034)</f>
        <v>24.298650339999998</v>
      </c>
      <c r="N16" s="186" t="s">
        <v>85</v>
      </c>
    </row>
    <row r="17" spans="1:14" ht="15.75" customHeight="1" x14ac:dyDescent="0.15">
      <c r="A17" s="73" t="s">
        <v>642</v>
      </c>
      <c r="B17" s="74" t="s">
        <v>643</v>
      </c>
      <c r="C17" s="131" t="s">
        <v>937</v>
      </c>
      <c r="D17" s="97" t="s">
        <v>86</v>
      </c>
      <c r="E17" s="85" t="s">
        <v>347</v>
      </c>
      <c r="F17" s="77"/>
      <c r="G17" s="73" t="s">
        <v>642</v>
      </c>
      <c r="H17" s="74" t="s">
        <v>643</v>
      </c>
      <c r="I17" s="185">
        <f ca="1">IFERROR(__xludf.DUMMYFUNCTION("IF(D17=E17,C17,GOOGLEFINANCE(CONCATENATE(D17,E17))*C17)"),217568.129)</f>
        <v>217568.12899999999</v>
      </c>
      <c r="J17" s="85" t="s">
        <v>347</v>
      </c>
      <c r="K17" s="78">
        <f ca="1">IFERROR(__xludf.DUMMYFUNCTION("VALUE(IF(D17=""USD"",C17,IF(D17=""EUR"",C17/GOOGLEFINANCE(CONCATENATE(L17,N17)),IF(D17=E17,C17/GOOGLEFINANCE(CONCATENATE(L17,J17))))))"),53.09)</f>
        <v>53.09</v>
      </c>
      <c r="L17" s="186" t="s">
        <v>86</v>
      </c>
      <c r="M17" s="78">
        <f ca="1">IFERROR(__xludf.DUMMYFUNCTION("VALUE(IF(D17=""EUR"",C17,IF(D17=""USD"",GOOGLEFINANCE(CONCATENATE(L17,N17))*C17,IF(D17=E17,C17/GOOGLEFINANCE(CONCATENATE(N17,J17))))))"),53.95934875)</f>
        <v>53.959348749999997</v>
      </c>
      <c r="N17" s="186" t="s">
        <v>85</v>
      </c>
    </row>
    <row r="18" spans="1:14" ht="15.75" customHeight="1" x14ac:dyDescent="0.15">
      <c r="A18" s="73" t="s">
        <v>560</v>
      </c>
      <c r="B18" s="74" t="s">
        <v>561</v>
      </c>
      <c r="C18" s="131" t="s">
        <v>938</v>
      </c>
      <c r="D18" s="79" t="s">
        <v>255</v>
      </c>
      <c r="E18" s="79" t="s">
        <v>255</v>
      </c>
      <c r="F18" s="77"/>
      <c r="G18" s="73" t="s">
        <v>560</v>
      </c>
      <c r="H18" s="74" t="s">
        <v>561</v>
      </c>
      <c r="I18" s="185" t="str">
        <f ca="1">IFERROR(__xludf.DUMMYFUNCTION("IF(D18=E18,C18,GOOGLEFINANCE(CONCATENATE(D18,E18))*C18)"),"18,000.00")</f>
        <v>18,000.00</v>
      </c>
      <c r="J18" s="79" t="s">
        <v>255</v>
      </c>
      <c r="K18" s="78">
        <f ca="1">IFERROR(__xludf.DUMMYFUNCTION("VALUE(IF(D18=""USD"",C18,IF(D18=""EUR"",C18/GOOGLEFINANCE(CONCATENATE(L18,N18)),IF(D18=E18,C18/GOOGLEFINANCE(CONCATENATE(L18,J18))))))"),27.01452976)</f>
        <v>27.014529759999999</v>
      </c>
      <c r="L18" s="186" t="s">
        <v>86</v>
      </c>
      <c r="M18" s="78">
        <f ca="1">IFERROR(__xludf.DUMMYFUNCTION("VALUE(IF(D18=""EUR"",C18,IF(D18=""USD"",GOOGLEFINANCE(CONCATENATE(L18,N18))*C18,IF(D18=E18,C18/GOOGLEFINANCE(CONCATENATE(N18,J18))))))"),27.45546453)</f>
        <v>27.45546453</v>
      </c>
      <c r="N18" s="186" t="s">
        <v>85</v>
      </c>
    </row>
    <row r="19" spans="1:14" ht="15.75" customHeight="1" x14ac:dyDescent="0.15">
      <c r="A19" s="73" t="s">
        <v>37</v>
      </c>
      <c r="B19" s="74" t="s">
        <v>101</v>
      </c>
      <c r="C19" s="131" t="s">
        <v>939</v>
      </c>
      <c r="D19" s="79" t="s">
        <v>102</v>
      </c>
      <c r="E19" s="79" t="s">
        <v>102</v>
      </c>
      <c r="F19" s="77"/>
      <c r="G19" s="73" t="s">
        <v>37</v>
      </c>
      <c r="H19" s="74" t="s">
        <v>101</v>
      </c>
      <c r="I19" s="185" t="str">
        <f ca="1">IFERROR(__xludf.DUMMYFUNCTION("IF(D19=E19,C19,GOOGLEFINANCE(CONCATENATE(D19,E19))*C19)"),"52.88")</f>
        <v>52.88</v>
      </c>
      <c r="J19" s="79" t="s">
        <v>102</v>
      </c>
      <c r="K19" s="78">
        <f ca="1">IFERROR(__xludf.DUMMYFUNCTION("VALUE(IF(D19=""USD"",C19,IF(D19=""EUR"",C19/GOOGLEFINANCE(CONCATENATE(L19,N19)),IF(D19=E19,C19/GOOGLEFINANCE(CONCATENATE(L19,J19))))))"),38.57967271)</f>
        <v>38.579672709999997</v>
      </c>
      <c r="L19" s="186" t="s">
        <v>86</v>
      </c>
      <c r="M19" s="78">
        <f ca="1">IFERROR(__xludf.DUMMYFUNCTION("VALUE(IF(D19=""EUR"",C19,IF(D19=""USD"",GOOGLEFINANCE(CONCATENATE(L19,N19))*C19,IF(D19=E19,C19/GOOGLEFINANCE(CONCATENATE(N19,J19))))))"),39.20405682)</f>
        <v>39.204056819999998</v>
      </c>
      <c r="N19" s="186" t="s">
        <v>85</v>
      </c>
    </row>
    <row r="20" spans="1:14" ht="15.75" customHeight="1" x14ac:dyDescent="0.15">
      <c r="A20" s="73" t="s">
        <v>68</v>
      </c>
      <c r="B20" s="74" t="s">
        <v>103</v>
      </c>
      <c r="C20" s="131" t="s">
        <v>940</v>
      </c>
      <c r="D20" s="79" t="s">
        <v>104</v>
      </c>
      <c r="E20" s="79" t="s">
        <v>104</v>
      </c>
      <c r="F20" s="77"/>
      <c r="G20" s="73" t="s">
        <v>68</v>
      </c>
      <c r="H20" s="74" t="s">
        <v>103</v>
      </c>
      <c r="I20" s="185" t="str">
        <f ca="1">IFERROR(__xludf.DUMMYFUNCTION("IF(D20=E20,C20,GOOGLEFINANCE(CONCATENATE(D20,E20))*C20)"),"28,792.68")</f>
        <v>28,792.68</v>
      </c>
      <c r="J20" s="79" t="s">
        <v>104</v>
      </c>
      <c r="K20" s="78">
        <f ca="1">IFERROR(__xludf.DUMMYFUNCTION("VALUE(IF(D20=""USD"",C20,IF(D20=""EUR"",C20/GOOGLEFINANCE(CONCATENATE(L20,N20)),IF(D20=E20,C20/GOOGLEFINANCE(CONCATENATE(L20,J20))))))"),29.59925983)</f>
        <v>29.599259830000001</v>
      </c>
      <c r="L20" s="186" t="s">
        <v>86</v>
      </c>
      <c r="M20" s="78">
        <f ca="1">IFERROR(__xludf.DUMMYFUNCTION("VALUE(IF(D20=""EUR"",C20,IF(D20=""USD"",GOOGLEFINANCE(CONCATENATE(L20,N20))*C20,IF(D20=E20,C20/GOOGLEFINANCE(CONCATENATE(N20,J20))))))"),30.0823829)</f>
        <v>30.082382899999999</v>
      </c>
      <c r="N20" s="186" t="s">
        <v>85</v>
      </c>
    </row>
    <row r="21" spans="1:14" ht="15.75" customHeight="1" x14ac:dyDescent="0.15">
      <c r="A21" s="73" t="s">
        <v>562</v>
      </c>
      <c r="B21" s="74" t="s">
        <v>563</v>
      </c>
      <c r="C21" s="131" t="s">
        <v>941</v>
      </c>
      <c r="D21" s="79" t="s">
        <v>258</v>
      </c>
      <c r="E21" s="79" t="s">
        <v>258</v>
      </c>
      <c r="F21" s="77"/>
      <c r="G21" s="73" t="s">
        <v>562</v>
      </c>
      <c r="H21" s="74" t="s">
        <v>563</v>
      </c>
      <c r="I21" s="185" t="str">
        <f ca="1">IFERROR(__xludf.DUMMYFUNCTION("IF(D21=E21,C21,GOOGLEFINANCE(CONCATENATE(D21,E21))*C21)"),"289.97")</f>
        <v>289.97</v>
      </c>
      <c r="J21" s="79" t="s">
        <v>258</v>
      </c>
      <c r="K21" s="78">
        <f ca="1">IFERROR(__xludf.DUMMYFUNCTION("VALUE(IF(D21=""USD"",C21,IF(D21=""EUR"",C21/GOOGLEFINANCE(CONCATENATE(L21,N21)),IF(D21=E21,C21/GOOGLEFINANCE(CONCATENATE(L21,J21))))))"),39.95287828)</f>
        <v>39.95287828</v>
      </c>
      <c r="L21" s="186" t="s">
        <v>86</v>
      </c>
      <c r="M21" s="78">
        <f ca="1">IFERROR(__xludf.DUMMYFUNCTION("VALUE(IF(D21=""EUR"",C21,IF(D21=""USD"",GOOGLEFINANCE(CONCATENATE(L21,N21))*C21,IF(D21=E21,C21/GOOGLEFINANCE(CONCATENATE(N21,J21))))))"),40.60499449)</f>
        <v>40.604994490000003</v>
      </c>
      <c r="N21" s="186" t="s">
        <v>85</v>
      </c>
    </row>
    <row r="22" spans="1:14" ht="15.75" customHeight="1" x14ac:dyDescent="0.15">
      <c r="A22" s="73" t="s">
        <v>80</v>
      </c>
      <c r="B22" s="74" t="s">
        <v>105</v>
      </c>
      <c r="C22" s="131" t="s">
        <v>942</v>
      </c>
      <c r="D22" s="79" t="s">
        <v>106</v>
      </c>
      <c r="E22" s="79" t="s">
        <v>106</v>
      </c>
      <c r="F22" s="77"/>
      <c r="G22" s="73" t="s">
        <v>80</v>
      </c>
      <c r="H22" s="74" t="s">
        <v>105</v>
      </c>
      <c r="I22" s="185" t="str">
        <f ca="1">IFERROR(__xludf.DUMMYFUNCTION("IF(D22=E22,C22,GOOGLEFINANCE(CONCATENATE(D22,E22))*C22)"),"78,395.23")</f>
        <v>78,395.23</v>
      </c>
      <c r="J22" s="79" t="s">
        <v>106</v>
      </c>
      <c r="K22" s="78">
        <f ca="1">IFERROR(__xludf.DUMMYFUNCTION("VALUE(IF(D22=""USD"",C22,IF(D22=""EUR"",C22/GOOGLEFINANCE(CONCATENATE(L22,N22)),IF(D22=E22,C22/GOOGLEFINANCE(CONCATENATE(L22,J22))))))"),15.94014558)</f>
        <v>15.940145579999999</v>
      </c>
      <c r="L22" s="186" t="s">
        <v>86</v>
      </c>
      <c r="M22" s="78">
        <f ca="1">IFERROR(__xludf.DUMMYFUNCTION("VALUE(IF(D22=""EUR"",C22,IF(D22=""USD"",GOOGLEFINANCE(CONCATENATE(L22,N22))*C22,IF(D22=E22,C22/GOOGLEFINANCE(CONCATENATE(N22,J22))))))"),16.20032277)</f>
        <v>16.20032277</v>
      </c>
      <c r="N22" s="186" t="s">
        <v>85</v>
      </c>
    </row>
    <row r="23" spans="1:14" ht="15.75" customHeight="1" x14ac:dyDescent="0.15">
      <c r="A23" s="73" t="s">
        <v>568</v>
      </c>
      <c r="B23" s="74" t="s">
        <v>569</v>
      </c>
      <c r="C23" s="131" t="s">
        <v>943</v>
      </c>
      <c r="D23" s="79" t="s">
        <v>263</v>
      </c>
      <c r="E23" s="79" t="s">
        <v>263</v>
      </c>
      <c r="F23" s="77"/>
      <c r="G23" s="73" t="s">
        <v>568</v>
      </c>
      <c r="H23" s="74" t="s">
        <v>569</v>
      </c>
      <c r="I23" s="185" t="str">
        <f ca="1">IFERROR(__xludf.DUMMYFUNCTION("IF(D23=E23,C23,GOOGLEFINANCE(CONCATENATE(D23,E23))*C23)"),"28,525.81")</f>
        <v>28,525.81</v>
      </c>
      <c r="J23" s="79" t="s">
        <v>263</v>
      </c>
      <c r="K23" s="78">
        <f ca="1">IFERROR(__xludf.DUMMYFUNCTION("VALUE(IF(D23=""USD"",C23,IF(D23=""EUR"",C23/GOOGLEFINANCE(CONCATENATE(L23,N23)),IF(D23=E23,C23/GOOGLEFINANCE(CONCATENATE(L23,J23))))))"),46.41827101)</f>
        <v>46.418271009999998</v>
      </c>
      <c r="L23" s="186" t="s">
        <v>86</v>
      </c>
      <c r="M23" s="78">
        <f ca="1">IFERROR(__xludf.DUMMYFUNCTION("VALUE(IF(D23=""EUR"",C23,IF(D23=""USD"",GOOGLEFINANCE(CONCATENATE(L23,N23))*C23,IF(D23=E23,C23/GOOGLEFINANCE(CONCATENATE(N23,J23))))))"),47.17591624)</f>
        <v>47.175916239999999</v>
      </c>
      <c r="N23" s="186" t="s">
        <v>85</v>
      </c>
    </row>
    <row r="24" spans="1:14" ht="15.75" customHeight="1" x14ac:dyDescent="0.15">
      <c r="A24" s="136" t="s">
        <v>555</v>
      </c>
      <c r="B24" s="137" t="s">
        <v>556</v>
      </c>
      <c r="C24" s="187" t="s">
        <v>944</v>
      </c>
      <c r="D24" s="139" t="s">
        <v>251</v>
      </c>
      <c r="E24" s="139" t="s">
        <v>251</v>
      </c>
      <c r="F24" s="77"/>
      <c r="G24" s="136" t="s">
        <v>555</v>
      </c>
      <c r="H24" s="137" t="s">
        <v>556</v>
      </c>
      <c r="I24" s="219"/>
      <c r="J24" s="199"/>
      <c r="K24" s="199"/>
      <c r="L24" s="199"/>
      <c r="M24" s="199"/>
      <c r="N24" s="199"/>
    </row>
    <row r="25" spans="1:14" ht="15.75" customHeight="1" x14ac:dyDescent="0.15">
      <c r="A25" s="73" t="s">
        <v>46</v>
      </c>
      <c r="B25" s="74" t="s">
        <v>107</v>
      </c>
      <c r="C25" s="131" t="s">
        <v>945</v>
      </c>
      <c r="D25" s="79" t="s">
        <v>108</v>
      </c>
      <c r="E25" s="79" t="s">
        <v>108</v>
      </c>
      <c r="F25" s="77"/>
      <c r="G25" s="73" t="s">
        <v>46</v>
      </c>
      <c r="H25" s="74" t="s">
        <v>107</v>
      </c>
      <c r="I25" s="185" t="str">
        <f ca="1">IFERROR(__xludf.DUMMYFUNCTION("IF(D25=E25,C25,GOOGLEFINANCE(CONCATENATE(D25,E25))*C25)"),"288.00")</f>
        <v>288.00</v>
      </c>
      <c r="J25" s="79" t="s">
        <v>108</v>
      </c>
      <c r="K25" s="78">
        <f ca="1">IFERROR(__xludf.DUMMYFUNCTION("VALUE(IF(D25=""USD"",C25,IF(D25=""EUR"",C25/GOOGLEFINANCE(CONCATENATE(L25,N25)),IF(D25=E25,C25/GOOGLEFINANCE(CONCATENATE(L25,J25))))))"),37.60282021)</f>
        <v>37.602820209999997</v>
      </c>
      <c r="L25" s="186" t="s">
        <v>86</v>
      </c>
      <c r="M25" s="78">
        <f ca="1">IFERROR(__xludf.DUMMYFUNCTION("VALUE(IF(D25=""EUR"",C25,IF(D25=""USD"",GOOGLEFINANCE(CONCATENATE(L25,N25))*C25,IF(D25=E25,C25/GOOGLEFINANCE(CONCATENATE(N25,J25))))))"),38.21657846)</f>
        <v>38.216578460000001</v>
      </c>
      <c r="N25" s="186" t="s">
        <v>85</v>
      </c>
    </row>
    <row r="26" spans="1:14" ht="15.75" customHeight="1" x14ac:dyDescent="0.15">
      <c r="A26" s="73" t="s">
        <v>572</v>
      </c>
      <c r="B26" s="74" t="s">
        <v>573</v>
      </c>
      <c r="C26" s="131" t="s">
        <v>946</v>
      </c>
      <c r="D26" s="79" t="s">
        <v>86</v>
      </c>
      <c r="E26" s="79" t="s">
        <v>86</v>
      </c>
      <c r="F26" s="77"/>
      <c r="G26" s="73" t="s">
        <v>572</v>
      </c>
      <c r="H26" s="74" t="s">
        <v>573</v>
      </c>
      <c r="I26" s="185" t="str">
        <f ca="1">IFERROR(__xludf.DUMMYFUNCTION("IF(D26=E26,C26,GOOGLEFINANCE(CONCATENATE(D26,E26))*C26)"),"15.50")</f>
        <v>15.50</v>
      </c>
      <c r="J26" s="79" t="s">
        <v>86</v>
      </c>
      <c r="K26" s="78">
        <f ca="1">IFERROR(__xludf.DUMMYFUNCTION("VALUE(IF(D26=""USD"",C26,IF(D26=""EUR"",C26/GOOGLEFINANCE(CONCATENATE(L26,N26)),IF(D26=E26,C26/GOOGLEFINANCE(CONCATENATE(L26,J26))))))"),15.5)</f>
        <v>15.5</v>
      </c>
      <c r="L26" s="186" t="s">
        <v>86</v>
      </c>
      <c r="M26" s="78">
        <f ca="1">IFERROR(__xludf.DUMMYFUNCTION("VALUE(IF(D26=""EUR"",C26,IF(D26=""USD"",GOOGLEFINANCE(CONCATENATE(L26,N26))*C26,IF(D26=E26,C26/GOOGLEFINANCE(CONCATENATE(N26,J26))))))"),15.7538125)</f>
        <v>15.7538125</v>
      </c>
      <c r="N26" s="186" t="s">
        <v>85</v>
      </c>
    </row>
    <row r="27" spans="1:14" ht="15.75" customHeight="1" x14ac:dyDescent="0.15">
      <c r="A27" s="73" t="s">
        <v>574</v>
      </c>
      <c r="B27" s="74" t="s">
        <v>575</v>
      </c>
      <c r="C27" s="131" t="s">
        <v>947</v>
      </c>
      <c r="D27" s="79" t="s">
        <v>85</v>
      </c>
      <c r="E27" s="79" t="s">
        <v>85</v>
      </c>
      <c r="F27" s="77"/>
      <c r="G27" s="73" t="s">
        <v>574</v>
      </c>
      <c r="H27" s="74" t="s">
        <v>575</v>
      </c>
      <c r="I27" s="185" t="str">
        <f ca="1">IFERROR(__xludf.DUMMYFUNCTION("IF(D27=E27,C27,GOOGLEFINANCE(CONCATENATE(D27,E27))*C27)"),"55.46")</f>
        <v>55.46</v>
      </c>
      <c r="J27" s="79" t="s">
        <v>85</v>
      </c>
      <c r="K27" s="78">
        <f ca="1">IFERROR(__xludf.DUMMYFUNCTION("VALUE(IF(D27=""USD"",C27,IF(D27=""EUR"",C27/GOOGLEFINANCE(CONCATENATE(L27,N27)),IF(D27=E27,C27/GOOGLEFINANCE(CONCATENATE(L27,J27))))))"),54.56647399)</f>
        <v>54.566473989999999</v>
      </c>
      <c r="L27" s="186" t="s">
        <v>86</v>
      </c>
      <c r="M27" s="78">
        <f ca="1">IFERROR(__xludf.DUMMYFUNCTION("VALUE(IF(D27=""EUR"",C27,IF(D27=""USD"",GOOGLEFINANCE(CONCATENATE(L27,N27))*C27,IF(D27=E27,C27/GOOGLEFINANCE(CONCATENATE(N27,J27))))))"),55.46)</f>
        <v>55.46</v>
      </c>
      <c r="N27" s="186" t="s">
        <v>85</v>
      </c>
    </row>
    <row r="28" spans="1:14" ht="15.75" customHeight="1" x14ac:dyDescent="0.15">
      <c r="A28" s="73" t="s">
        <v>41</v>
      </c>
      <c r="B28" s="74" t="s">
        <v>109</v>
      </c>
      <c r="C28" s="131" t="s">
        <v>948</v>
      </c>
      <c r="D28" s="79" t="s">
        <v>110</v>
      </c>
      <c r="E28" s="79" t="s">
        <v>110</v>
      </c>
      <c r="F28" s="77"/>
      <c r="G28" s="73" t="s">
        <v>41</v>
      </c>
      <c r="H28" s="74" t="s">
        <v>109</v>
      </c>
      <c r="I28" s="185" t="str">
        <f ca="1">IFERROR(__xludf.DUMMYFUNCTION("IF(D28=E28,C28,GOOGLEFINANCE(CONCATENATE(D28,E28))*C28)"),"900.57")</f>
        <v>900.57</v>
      </c>
      <c r="J28" s="79" t="s">
        <v>110</v>
      </c>
      <c r="K28" s="78">
        <f ca="1">IFERROR(__xludf.DUMMYFUNCTION("VALUE(IF(D28=""USD"",C28,IF(D28=""EUR"",C28/GOOGLEFINANCE(CONCATENATE(L28,N28)),IF(D28=E28,C28/GOOGLEFINANCE(CONCATENATE(L28,J28))))))"),36.18636236)</f>
        <v>36.186362359999997</v>
      </c>
      <c r="L28" s="186" t="s">
        <v>86</v>
      </c>
      <c r="M28" s="78">
        <f ca="1">IFERROR(__xludf.DUMMYFUNCTION("VALUE(IF(D28=""EUR"",C28,IF(D28=""USD"",GOOGLEFINANCE(CONCATENATE(L28,N28))*C28,IF(D28=E28,C28/GOOGLEFINANCE(CONCATENATE(N28,J28))))))"),36.78055295)</f>
        <v>36.780552950000001</v>
      </c>
      <c r="N28" s="186" t="s">
        <v>85</v>
      </c>
    </row>
    <row r="29" spans="1:14" ht="15.75" customHeight="1" x14ac:dyDescent="0.15">
      <c r="A29" s="73" t="s">
        <v>581</v>
      </c>
      <c r="B29" s="74" t="s">
        <v>582</v>
      </c>
      <c r="C29" s="131" t="s">
        <v>949</v>
      </c>
      <c r="D29" s="79" t="s">
        <v>274</v>
      </c>
      <c r="E29" s="79" t="s">
        <v>274</v>
      </c>
      <c r="F29" s="77"/>
      <c r="G29" s="73" t="s">
        <v>581</v>
      </c>
      <c r="H29" s="74" t="s">
        <v>582</v>
      </c>
      <c r="I29" s="185" t="str">
        <f ca="1">IFERROR(__xludf.DUMMYFUNCTION("IF(D29=E29,C29,GOOGLEFINANCE(CONCATENATE(D29,E29))*C29)"),"247.93")</f>
        <v>247.93</v>
      </c>
      <c r="J29" s="79" t="s">
        <v>274</v>
      </c>
      <c r="K29" s="78">
        <f ca="1">IFERROR(__xludf.DUMMYFUNCTION("VALUE(IF(D29=""USD"",C29,IF(D29=""EUR"",C29/GOOGLEFINANCE(CONCATENATE(L29,N29)),IF(D29=E29,C29/GOOGLEFINANCE(CONCATENATE(L29,J29))))))"),32.79462651)</f>
        <v>32.794626510000001</v>
      </c>
      <c r="L29" s="186" t="s">
        <v>86</v>
      </c>
      <c r="M29" s="78">
        <f ca="1">IFERROR(__xludf.DUMMYFUNCTION("VALUE(IF(D29=""EUR"",C29,IF(D29=""USD"",GOOGLEFINANCE(CONCATENATE(L29,N29))*C29,IF(D29=E29,C29/GOOGLEFINANCE(CONCATENATE(N29,J29))))))"),33.33120473)</f>
        <v>33.331204730000003</v>
      </c>
      <c r="N29" s="186" t="s">
        <v>85</v>
      </c>
    </row>
    <row r="30" spans="1:14" ht="15.75" customHeight="1" x14ac:dyDescent="0.15">
      <c r="A30" s="73" t="s">
        <v>586</v>
      </c>
      <c r="B30" s="74" t="s">
        <v>587</v>
      </c>
      <c r="C30" s="131" t="s">
        <v>950</v>
      </c>
      <c r="D30" s="79" t="s">
        <v>277</v>
      </c>
      <c r="E30" s="79" t="s">
        <v>277</v>
      </c>
      <c r="F30" s="77"/>
      <c r="G30" s="73" t="s">
        <v>586</v>
      </c>
      <c r="H30" s="74" t="s">
        <v>587</v>
      </c>
      <c r="I30" s="185" t="str">
        <f ca="1">IFERROR(__xludf.DUMMYFUNCTION("IF(D30=E30,C30,GOOGLEFINANCE(CONCATENATE(D30,E30))*C30)"),"1,542.82")</f>
        <v>1,542.82</v>
      </c>
      <c r="J30" s="79" t="s">
        <v>277</v>
      </c>
      <c r="K30" s="78">
        <f ca="1">IFERROR(__xludf.DUMMYFUNCTION("VALUE(IF(D30=""USD"",C30,IF(D30=""EUR"",C30/GOOGLEFINANCE(CONCATENATE(L30,N30)),IF(D30=E30,C30/GOOGLEFINANCE(CONCATENATE(L30,J30))))))"),28.88902828)</f>
        <v>28.889028280000002</v>
      </c>
      <c r="L30" s="186" t="s">
        <v>86</v>
      </c>
      <c r="M30" s="78">
        <f ca="1">IFERROR(__xludf.DUMMYFUNCTION("VALUE(IF(D30=""EUR"",C30,IF(D30=""USD"",GOOGLEFINANCE(CONCATENATE(L30,N30))*C30,IF(D30=E30,C30/GOOGLEFINANCE(CONCATENATE(N30,J30))))))"),29.36055886)</f>
        <v>29.360558860000001</v>
      </c>
      <c r="N30" s="186" t="s">
        <v>85</v>
      </c>
    </row>
    <row r="31" spans="1:14" ht="15.75" customHeight="1" x14ac:dyDescent="0.15">
      <c r="A31" s="73" t="s">
        <v>590</v>
      </c>
      <c r="B31" s="74" t="s">
        <v>591</v>
      </c>
      <c r="C31" s="131" t="s">
        <v>951</v>
      </c>
      <c r="D31" s="79" t="s">
        <v>86</v>
      </c>
      <c r="E31" s="79" t="s">
        <v>86</v>
      </c>
      <c r="F31" s="77"/>
      <c r="G31" s="73" t="s">
        <v>590</v>
      </c>
      <c r="H31" s="74" t="s">
        <v>591</v>
      </c>
      <c r="I31" s="185" t="str">
        <f ca="1">IFERROR(__xludf.DUMMYFUNCTION("IF(D31=E31,C31,GOOGLEFINANCE(CONCATENATE(D31,E31))*C31)"),"34.24")</f>
        <v>34.24</v>
      </c>
      <c r="J31" s="79" t="s">
        <v>86</v>
      </c>
      <c r="K31" s="78">
        <f ca="1">IFERROR(__xludf.DUMMYFUNCTION("VALUE(IF(D31=""USD"",C31,IF(D31=""EUR"",C31/GOOGLEFINANCE(CONCATENATE(L31,N31)),IF(D31=E31,C31/GOOGLEFINANCE(CONCATENATE(L31,J31))))))"),34.24)</f>
        <v>34.24</v>
      </c>
      <c r="L31" s="186" t="s">
        <v>86</v>
      </c>
      <c r="M31" s="78">
        <f ca="1">IFERROR(__xludf.DUMMYFUNCTION("VALUE(IF(D31=""EUR"",C31,IF(D31=""USD"",GOOGLEFINANCE(CONCATENATE(L31,N31))*C31,IF(D31=E31,C31/GOOGLEFINANCE(CONCATENATE(N31,J31))))))"),34.80068)</f>
        <v>34.80068</v>
      </c>
      <c r="N31" s="186" t="s">
        <v>85</v>
      </c>
    </row>
    <row r="32" spans="1:14" ht="15.75" customHeight="1" x14ac:dyDescent="0.15">
      <c r="A32" s="73" t="s">
        <v>71</v>
      </c>
      <c r="B32" s="74" t="s">
        <v>111</v>
      </c>
      <c r="C32" s="131" t="s">
        <v>952</v>
      </c>
      <c r="D32" s="79" t="s">
        <v>112</v>
      </c>
      <c r="E32" s="79" t="s">
        <v>112</v>
      </c>
      <c r="F32" s="77"/>
      <c r="G32" s="73" t="s">
        <v>71</v>
      </c>
      <c r="H32" s="74" t="s">
        <v>111</v>
      </c>
      <c r="I32" s="185" t="str">
        <f ca="1">IFERROR(__xludf.DUMMYFUNCTION("IF(D32=E32,C32,GOOGLEFINANCE(CONCATENATE(D32,E32))*C32)"),"460.82")</f>
        <v>460.82</v>
      </c>
      <c r="J32" s="79" t="s">
        <v>112</v>
      </c>
      <c r="K32" s="78">
        <f ca="1">IFERROR(__xludf.DUMMYFUNCTION("VALUE(IF(D32=""USD"",C32,IF(D32=""EUR"",C32/GOOGLEFINANCE(CONCATENATE(L32,N32)),IF(D32=E32,C32/GOOGLEFINANCE(CONCATENATE(L32,J32))))))"),23.41541244)</f>
        <v>23.415412440000001</v>
      </c>
      <c r="L32" s="186" t="s">
        <v>86</v>
      </c>
      <c r="M32" s="78">
        <f ca="1">IFERROR(__xludf.DUMMYFUNCTION("VALUE(IF(D32=""EUR"",C32,IF(D32=""USD"",GOOGLEFINANCE(CONCATENATE(L32,N32))*C32,IF(D32=E32,C32/GOOGLEFINANCE(CONCATENATE(N32,J32))))))"),23.79760194)</f>
        <v>23.79760194</v>
      </c>
      <c r="N32" s="186" t="s">
        <v>85</v>
      </c>
    </row>
    <row r="33" spans="1:14" ht="15.75" customHeight="1" x14ac:dyDescent="0.15">
      <c r="A33" s="73" t="s">
        <v>723</v>
      </c>
      <c r="B33" s="74" t="s">
        <v>724</v>
      </c>
      <c r="C33" s="131" t="s">
        <v>953</v>
      </c>
      <c r="D33" s="79" t="s">
        <v>86</v>
      </c>
      <c r="E33" s="79" t="s">
        <v>86</v>
      </c>
      <c r="F33" s="77"/>
      <c r="G33" s="73" t="s">
        <v>723</v>
      </c>
      <c r="H33" s="74" t="s">
        <v>724</v>
      </c>
      <c r="I33" s="185" t="str">
        <f ca="1">IFERROR(__xludf.DUMMYFUNCTION("IF(D33=E33,C33,GOOGLEFINANCE(CONCATENATE(D33,E33))*C33)"),"26.95")</f>
        <v>26.95</v>
      </c>
      <c r="J33" s="79" t="s">
        <v>86</v>
      </c>
      <c r="K33" s="78">
        <f ca="1">IFERROR(__xludf.DUMMYFUNCTION("VALUE(IF(D33=""USD"",C33,IF(D33=""EUR"",C33/GOOGLEFINANCE(CONCATENATE(L33,N33)),IF(D33=E33,C33/GOOGLEFINANCE(CONCATENATE(L33,J33))))))"),26.95)</f>
        <v>26.95</v>
      </c>
      <c r="L33" s="186" t="s">
        <v>86</v>
      </c>
      <c r="M33" s="78">
        <f ca="1">IFERROR(__xludf.DUMMYFUNCTION("VALUE(IF(D33=""EUR"",C33,IF(D33=""USD"",GOOGLEFINANCE(CONCATENATE(L33,N33))*C33,IF(D33=E33,C33/GOOGLEFINANCE(CONCATENATE(N33,J33))))))"),27.39130625)</f>
        <v>27.39130625</v>
      </c>
      <c r="N33" s="186" t="s">
        <v>85</v>
      </c>
    </row>
    <row r="34" spans="1:14" ht="15.75" customHeight="1" x14ac:dyDescent="0.15">
      <c r="A34" s="73" t="s">
        <v>42</v>
      </c>
      <c r="B34" s="74" t="s">
        <v>113</v>
      </c>
      <c r="C34" s="131" t="s">
        <v>954</v>
      </c>
      <c r="D34" s="79" t="s">
        <v>85</v>
      </c>
      <c r="E34" s="79" t="s">
        <v>85</v>
      </c>
      <c r="F34" s="77"/>
      <c r="G34" s="73" t="s">
        <v>42</v>
      </c>
      <c r="H34" s="74" t="s">
        <v>113</v>
      </c>
      <c r="I34" s="185" t="str">
        <f ca="1">IFERROR(__xludf.DUMMYFUNCTION("IF(D34=E34,C34,GOOGLEFINANCE(CONCATENATE(D34,E34))*C34)"),"44.71")</f>
        <v>44.71</v>
      </c>
      <c r="J34" s="79" t="s">
        <v>85</v>
      </c>
      <c r="K34" s="78">
        <f ca="1">IFERROR(__xludf.DUMMYFUNCTION("VALUE(IF(D34=""USD"",C34,IF(D34=""EUR"",C34/GOOGLEFINANCE(CONCATENATE(L34,N34)),IF(D34=E34,C34/GOOGLEFINANCE(CONCATENATE(L34,J34))))))"),43.98966917)</f>
        <v>43.989669169999999</v>
      </c>
      <c r="L34" s="186" t="s">
        <v>86</v>
      </c>
      <c r="M34" s="78">
        <f ca="1">IFERROR(__xludf.DUMMYFUNCTION("VALUE(IF(D34=""EUR"",C34,IF(D34=""USD"",GOOGLEFINANCE(CONCATENATE(L34,N34))*C34,IF(D34=E34,C34/GOOGLEFINANCE(CONCATENATE(N34,J34))))))"),44.71)</f>
        <v>44.71</v>
      </c>
      <c r="N34" s="186" t="s">
        <v>85</v>
      </c>
    </row>
    <row r="35" spans="1:14" ht="15.75" customHeight="1" x14ac:dyDescent="0.15">
      <c r="A35" s="73" t="s">
        <v>32</v>
      </c>
      <c r="B35" s="74" t="s">
        <v>114</v>
      </c>
      <c r="C35" s="131" t="s">
        <v>955</v>
      </c>
      <c r="D35" s="79" t="s">
        <v>85</v>
      </c>
      <c r="E35" s="79" t="s">
        <v>85</v>
      </c>
      <c r="F35" s="77"/>
      <c r="G35" s="73" t="s">
        <v>32</v>
      </c>
      <c r="H35" s="74" t="s">
        <v>114</v>
      </c>
      <c r="I35" s="185" t="str">
        <f ca="1">IFERROR(__xludf.DUMMYFUNCTION("IF(D35=E35,C35,GOOGLEFINANCE(CONCATENATE(D35,E35))*C35)"),"38.53")</f>
        <v>38.53</v>
      </c>
      <c r="J35" s="79" t="s">
        <v>85</v>
      </c>
      <c r="K35" s="78">
        <f ca="1">IFERROR(__xludf.DUMMYFUNCTION("VALUE(IF(D35=""USD"",C35,IF(D35=""EUR"",C35/GOOGLEFINANCE(CONCATENATE(L35,N35)),IF(D35=E35,C35/GOOGLEFINANCE(CONCATENATE(L35,J35))))))"),37.90923626)</f>
        <v>37.90923626</v>
      </c>
      <c r="L35" s="186" t="s">
        <v>86</v>
      </c>
      <c r="M35" s="78">
        <f ca="1">IFERROR(__xludf.DUMMYFUNCTION("VALUE(IF(D35=""EUR"",C35,IF(D35=""USD"",GOOGLEFINANCE(CONCATENATE(L35,N35))*C35,IF(D35=E35,C35/GOOGLEFINANCE(CONCATENATE(N35,J35))))))"),38.53)</f>
        <v>38.53</v>
      </c>
      <c r="N35" s="186" t="s">
        <v>85</v>
      </c>
    </row>
    <row r="36" spans="1:14" ht="15.75" customHeight="1" x14ac:dyDescent="0.15">
      <c r="A36" s="73" t="s">
        <v>31</v>
      </c>
      <c r="B36" s="74" t="s">
        <v>115</v>
      </c>
      <c r="C36" s="131" t="s">
        <v>956</v>
      </c>
      <c r="D36" s="79" t="s">
        <v>85</v>
      </c>
      <c r="E36" s="79" t="s">
        <v>85</v>
      </c>
      <c r="F36" s="77"/>
      <c r="G36" s="73" t="s">
        <v>31</v>
      </c>
      <c r="H36" s="74" t="s">
        <v>115</v>
      </c>
      <c r="I36" s="185" t="str">
        <f ca="1">IFERROR(__xludf.DUMMYFUNCTION("IF(D36=E36,C36,GOOGLEFINANCE(CONCATENATE(D36,E36))*C36)"),"33.27")</f>
        <v>33.27</v>
      </c>
      <c r="J36" s="79" t="s">
        <v>85</v>
      </c>
      <c r="K36" s="78">
        <f ca="1">IFERROR(__xludf.DUMMYFUNCTION("VALUE(IF(D36=""USD"",C36,IF(D36=""EUR"",C36/GOOGLEFINANCE(CONCATENATE(L36,N36)),IF(D36=E36,C36/GOOGLEFINANCE(CONCATENATE(L36,J36))))))"),32.73398106)</f>
        <v>32.733981059999998</v>
      </c>
      <c r="L36" s="186" t="s">
        <v>86</v>
      </c>
      <c r="M36" s="78">
        <f ca="1">IFERROR(__xludf.DUMMYFUNCTION("VALUE(IF(D36=""EUR"",C36,IF(D36=""USD"",GOOGLEFINANCE(CONCATENATE(L36,N36))*C36,IF(D36=E36,C36/GOOGLEFINANCE(CONCATENATE(N36,J36))))))"),33.27)</f>
        <v>33.270000000000003</v>
      </c>
      <c r="N36" s="186" t="s">
        <v>85</v>
      </c>
    </row>
    <row r="37" spans="1:14" ht="15.75" customHeight="1" x14ac:dyDescent="0.15">
      <c r="A37" s="73" t="s">
        <v>598</v>
      </c>
      <c r="B37" s="74" t="s">
        <v>599</v>
      </c>
      <c r="C37" s="131" t="s">
        <v>957</v>
      </c>
      <c r="D37" s="79" t="s">
        <v>294</v>
      </c>
      <c r="E37" s="79" t="s">
        <v>294</v>
      </c>
      <c r="F37" s="77"/>
      <c r="G37" s="73" t="s">
        <v>598</v>
      </c>
      <c r="H37" s="74" t="s">
        <v>599</v>
      </c>
      <c r="I37" s="185" t="str">
        <f ca="1">IFERROR(__xludf.DUMMYFUNCTION("IF(D37=E37,C37,GOOGLEFINANCE(CONCATENATE(D37,E37))*C37)"),"117.78")</f>
        <v>117.78</v>
      </c>
      <c r="J37" s="79" t="s">
        <v>294</v>
      </c>
      <c r="K37" s="78">
        <f ca="1">IFERROR(__xludf.DUMMYFUNCTION("VALUE(IF(D37=""USD"",C37,IF(D37=""EUR"",C37/GOOGLEFINANCE(CONCATENATE(L37,N37)),IF(D37=E37,C37/GOOGLEFINANCE(CONCATENATE(L37,J37))))))"),42.67391304)</f>
        <v>42.673913040000002</v>
      </c>
      <c r="L37" s="186" t="s">
        <v>86</v>
      </c>
      <c r="M37" s="78">
        <f ca="1">IFERROR(__xludf.DUMMYFUNCTION("VALUE(IF(D37=""EUR"",C37,IF(D37=""USD"",GOOGLEFINANCE(CONCATENATE(L37,N37))*C37,IF(D37=E37,C37/GOOGLEFINANCE(CONCATENATE(N37,J37))))))"),43.37044235)</f>
        <v>43.370442349999998</v>
      </c>
      <c r="N37" s="186" t="s">
        <v>85</v>
      </c>
    </row>
    <row r="38" spans="1:14" ht="15.75" customHeight="1" x14ac:dyDescent="0.15">
      <c r="A38" s="73" t="s">
        <v>29</v>
      </c>
      <c r="B38" s="74" t="s">
        <v>116</v>
      </c>
      <c r="C38" s="131" t="s">
        <v>958</v>
      </c>
      <c r="D38" s="79" t="s">
        <v>85</v>
      </c>
      <c r="E38" s="79" t="s">
        <v>85</v>
      </c>
      <c r="F38" s="77"/>
      <c r="G38" s="73" t="s">
        <v>29</v>
      </c>
      <c r="H38" s="74" t="s">
        <v>116</v>
      </c>
      <c r="I38" s="185" t="str">
        <f ca="1">IFERROR(__xludf.DUMMYFUNCTION("IF(D38=E38,C38,GOOGLEFINANCE(CONCATENATE(D38,E38))*C38)"),"30.57")</f>
        <v>30.57</v>
      </c>
      <c r="J38" s="79" t="s">
        <v>85</v>
      </c>
      <c r="K38" s="78">
        <f ca="1">IFERROR(__xludf.DUMMYFUNCTION("VALUE(IF(D38=""USD"",C38,IF(D38=""EUR"",C38/GOOGLEFINANCE(CONCATENATE(L38,N38)),IF(D38=E38,C38/GOOGLEFINANCE(CONCATENATE(L38,J38))))))"),30.07748124)</f>
        <v>30.077481240000001</v>
      </c>
      <c r="L38" s="186" t="s">
        <v>86</v>
      </c>
      <c r="M38" s="78">
        <f ca="1">IFERROR(__xludf.DUMMYFUNCTION("VALUE(IF(D38=""EUR"",C38,IF(D38=""USD"",GOOGLEFINANCE(CONCATENATE(L38,N38))*C38,IF(D38=E38,C38/GOOGLEFINANCE(CONCATENATE(N38,J38))))))"),30.57)</f>
        <v>30.57</v>
      </c>
      <c r="N38" s="186" t="s">
        <v>85</v>
      </c>
    </row>
    <row r="39" spans="1:14" ht="15.75" customHeight="1" x14ac:dyDescent="0.15">
      <c r="A39" s="73" t="s">
        <v>602</v>
      </c>
      <c r="B39" s="74" t="s">
        <v>296</v>
      </c>
      <c r="C39" s="131" t="s">
        <v>945</v>
      </c>
      <c r="D39" s="79" t="s">
        <v>297</v>
      </c>
      <c r="E39" s="79" t="s">
        <v>297</v>
      </c>
      <c r="F39" s="77"/>
      <c r="G39" s="73" t="s">
        <v>602</v>
      </c>
      <c r="H39" s="74" t="s">
        <v>296</v>
      </c>
      <c r="I39" s="185" t="str">
        <f ca="1">IFERROR(__xludf.DUMMYFUNCTION("IF(D39=E39,C39,GOOGLEFINANCE(CONCATENATE(D39,E39))*C39)"),"288.00")</f>
        <v>288.00</v>
      </c>
      <c r="J39" s="79" t="s">
        <v>297</v>
      </c>
      <c r="K39" s="78">
        <f ca="1">IFERROR(__xludf.DUMMYFUNCTION("VALUE(IF(D39=""USD"",C39,IF(D39=""EUR"",C39/GOOGLEFINANCE(CONCATENATE(L39,N39)),IF(D39=E39,C39/GOOGLEFINANCE(CONCATENATE(L39,J39))))))"),21.34623595)</f>
        <v>21.346235950000001</v>
      </c>
      <c r="L39" s="186" t="s">
        <v>86</v>
      </c>
      <c r="M39" s="78">
        <f ca="1">IFERROR(__xludf.DUMMYFUNCTION("VALUE(IF(D39=""EUR"",C39,IF(D39=""USD"",GOOGLEFINANCE(CONCATENATE(L39,N39))*C39,IF(D39=E39,C39/GOOGLEFINANCE(CONCATENATE(N39,J39))))))"),21.69465207)</f>
        <v>21.69465207</v>
      </c>
      <c r="N39" s="186" t="s">
        <v>85</v>
      </c>
    </row>
    <row r="40" spans="1:14" ht="15.75" customHeight="1" x14ac:dyDescent="0.15">
      <c r="A40" s="73" t="s">
        <v>40</v>
      </c>
      <c r="B40" s="74" t="s">
        <v>117</v>
      </c>
      <c r="C40" s="131" t="s">
        <v>959</v>
      </c>
      <c r="D40" s="79" t="s">
        <v>85</v>
      </c>
      <c r="E40" s="79" t="s">
        <v>85</v>
      </c>
      <c r="F40" s="77"/>
      <c r="G40" s="73" t="s">
        <v>40</v>
      </c>
      <c r="H40" s="74" t="s">
        <v>117</v>
      </c>
      <c r="I40" s="185" t="str">
        <f ca="1">IFERROR(__xludf.DUMMYFUNCTION("IF(D40=E40,C40,GOOGLEFINANCE(CONCATENATE(D40,E40))*C40)"),"35.53")</f>
        <v>35.53</v>
      </c>
      <c r="J40" s="79" t="s">
        <v>85</v>
      </c>
      <c r="K40" s="78">
        <f ca="1">IFERROR(__xludf.DUMMYFUNCTION("VALUE(IF(D40=""USD"",C40,IF(D40=""EUR"",C40/GOOGLEFINANCE(CONCATENATE(L40,N40)),IF(D40=E40,C40/GOOGLEFINANCE(CONCATENATE(L40,J40))))))"),34.95756979)</f>
        <v>34.957569790000001</v>
      </c>
      <c r="L40" s="186" t="s">
        <v>86</v>
      </c>
      <c r="M40" s="78">
        <f ca="1">IFERROR(__xludf.DUMMYFUNCTION("VALUE(IF(D40=""EUR"",C40,IF(D40=""USD"",GOOGLEFINANCE(CONCATENATE(L40,N40))*C40,IF(D40=E40,C40/GOOGLEFINANCE(CONCATENATE(N40,J40))))))"),35.53)</f>
        <v>35.53</v>
      </c>
      <c r="N40" s="186" t="s">
        <v>85</v>
      </c>
    </row>
    <row r="41" spans="1:14" ht="13" x14ac:dyDescent="0.15">
      <c r="A41" s="73" t="s">
        <v>603</v>
      </c>
      <c r="B41" s="74" t="s">
        <v>604</v>
      </c>
      <c r="C41" s="131" t="s">
        <v>960</v>
      </c>
      <c r="D41" s="79" t="s">
        <v>302</v>
      </c>
      <c r="E41" s="79" t="s">
        <v>302</v>
      </c>
      <c r="F41" s="77"/>
      <c r="G41" s="73" t="s">
        <v>603</v>
      </c>
      <c r="H41" s="74" t="s">
        <v>604</v>
      </c>
      <c r="I41" s="185" t="str">
        <f ca="1">IFERROR(__xludf.DUMMYFUNCTION("IF(D41=E41,C41,GOOGLEFINANCE(CONCATENATE(D41,E41))*C41)"),"361.96")</f>
        <v>361.96</v>
      </c>
      <c r="J41" s="79" t="s">
        <v>302</v>
      </c>
      <c r="K41" s="78">
        <f ca="1">IFERROR(__xludf.DUMMYFUNCTION("VALUE(IF(D41=""USD"",C41,IF(D41=""EUR"",C41/GOOGLEFINANCE(CONCATENATE(L41,N41)),IF(D41=E41,C41/GOOGLEFINANCE(CONCATENATE(L41,J41))))))"),46.62791999)</f>
        <v>46.627919990000002</v>
      </c>
      <c r="L41" s="186" t="s">
        <v>86</v>
      </c>
      <c r="M41" s="78">
        <f ca="1">IFERROR(__xludf.DUMMYFUNCTION("VALUE(IF(D41=""EUR"",C41,IF(D41=""USD"",GOOGLEFINANCE(CONCATENATE(L41,N41))*C41,IF(D41=E41,C41/GOOGLEFINANCE(CONCATENATE(N41,J41))))))"),47.38898713)</f>
        <v>47.388987129999997</v>
      </c>
      <c r="N41" s="186" t="s">
        <v>85</v>
      </c>
    </row>
    <row r="42" spans="1:14" ht="13" x14ac:dyDescent="0.15">
      <c r="A42" s="73" t="s">
        <v>608</v>
      </c>
      <c r="B42" s="74" t="s">
        <v>306</v>
      </c>
      <c r="C42" s="131" t="s">
        <v>961</v>
      </c>
      <c r="D42" s="97" t="s">
        <v>86</v>
      </c>
      <c r="E42" s="85" t="s">
        <v>307</v>
      </c>
      <c r="F42" s="77"/>
      <c r="G42" s="73" t="s">
        <v>608</v>
      </c>
      <c r="H42" s="74" t="s">
        <v>306</v>
      </c>
      <c r="I42" s="185">
        <f ca="1">IFERROR(__xludf.DUMMYFUNCTION("IF(D42=E42,C42,GOOGLEFINANCE(CONCATENATE(D42,E42))*C42)"),940.7683215)</f>
        <v>940.76832149999996</v>
      </c>
      <c r="J42" s="85" t="s">
        <v>307</v>
      </c>
      <c r="K42" s="78">
        <f ca="1">IFERROR(__xludf.DUMMYFUNCTION("VALUE(IF(D42=""USD"",C42,IF(D42=""EUR"",C42/GOOGLEFINANCE(CONCATENATE(L42,N42)),IF(D42=E42,C42/GOOGLEFINANCE(CONCATENATE(L42,J42))))))"),38.43)</f>
        <v>38.43</v>
      </c>
      <c r="L42" s="186" t="s">
        <v>86</v>
      </c>
      <c r="M42" s="78">
        <f ca="1">IFERROR(__xludf.DUMMYFUNCTION("VALUE(IF(D42=""EUR"",C42,IF(D42=""USD"",GOOGLEFINANCE(CONCATENATE(L42,N42))*C42,IF(D42=E42,C42/GOOGLEFINANCE(CONCATENATE(N42,J42))))))"),39.05929125)</f>
        <v>39.059291250000001</v>
      </c>
      <c r="N42" s="186" t="s">
        <v>85</v>
      </c>
    </row>
    <row r="43" spans="1:14" ht="13" x14ac:dyDescent="0.15">
      <c r="A43" s="73" t="s">
        <v>65</v>
      </c>
      <c r="B43" s="74" t="s">
        <v>118</v>
      </c>
      <c r="C43" s="131" t="s">
        <v>962</v>
      </c>
      <c r="D43" s="79" t="s">
        <v>119</v>
      </c>
      <c r="E43" s="79" t="s">
        <v>119</v>
      </c>
      <c r="F43" s="77"/>
      <c r="G43" s="73" t="s">
        <v>65</v>
      </c>
      <c r="H43" s="74" t="s">
        <v>118</v>
      </c>
      <c r="I43" s="185" t="str">
        <f ca="1">IFERROR(__xludf.DUMMYFUNCTION("IF(D43=E43,C43,GOOGLEFINANCE(CONCATENATE(D43,E43))*C43)"),"515.13")</f>
        <v>515.13</v>
      </c>
      <c r="J43" s="79" t="s">
        <v>119</v>
      </c>
      <c r="K43" s="78">
        <f ca="1">IFERROR(__xludf.DUMMYFUNCTION("VALUE(IF(D43=""USD"",C43,IF(D43=""EUR"",C43/GOOGLEFINANCE(CONCATENATE(L43,N43)),IF(D43=E43,C43/GOOGLEFINANCE(CONCATENATE(L43,J43))))))"),65.6284279)</f>
        <v>65.628427900000005</v>
      </c>
      <c r="L43" s="186" t="s">
        <v>86</v>
      </c>
      <c r="M43" s="78">
        <f ca="1">IFERROR(__xludf.DUMMYFUNCTION("VALUE(IF(D43=""EUR"",C43,IF(D43=""USD"",GOOGLEFINANCE(CONCATENATE(L43,N43))*C43,IF(D43=E43,C43/GOOGLEFINANCE(CONCATENATE(N43,J43))))))"),66.691265)</f>
        <v>66.691265000000001</v>
      </c>
      <c r="N43" s="186" t="s">
        <v>85</v>
      </c>
    </row>
    <row r="44" spans="1:14" ht="13" x14ac:dyDescent="0.15">
      <c r="A44" s="73" t="s">
        <v>72</v>
      </c>
      <c r="B44" s="74" t="s">
        <v>120</v>
      </c>
      <c r="C44" s="131" t="s">
        <v>963</v>
      </c>
      <c r="D44" s="79" t="s">
        <v>121</v>
      </c>
      <c r="E44" s="79" t="s">
        <v>121</v>
      </c>
      <c r="F44" s="77"/>
      <c r="G44" s="73" t="s">
        <v>72</v>
      </c>
      <c r="H44" s="74" t="s">
        <v>120</v>
      </c>
      <c r="I44" s="185" t="str">
        <f ca="1">IFERROR(__xludf.DUMMYFUNCTION("IF(D44=E44,C44,GOOGLEFINANCE(CONCATENATE(D44,E44))*C44)"),"13,006.99")</f>
        <v>13,006.99</v>
      </c>
      <c r="J44" s="79" t="s">
        <v>121</v>
      </c>
      <c r="K44" s="78">
        <f ca="1">IFERROR(__xludf.DUMMYFUNCTION("VALUE(IF(D44=""USD"",C44,IF(D44=""EUR"",C44/GOOGLEFINANCE(CONCATENATE(L44,N44)),IF(D44=E44,C44/GOOGLEFINANCE(CONCATENATE(L44,J44))))))"),31.29915538)</f>
        <v>31.299155379999998</v>
      </c>
      <c r="L44" s="186" t="s">
        <v>86</v>
      </c>
      <c r="M44" s="78">
        <f ca="1">IFERROR(__xludf.DUMMYFUNCTION("VALUE(IF(D44=""EUR"",C44,IF(D44=""USD"",GOOGLEFINANCE(CONCATENATE(L44,N44))*C44,IF(D44=E44,C44/GOOGLEFINANCE(CONCATENATE(N44,J44))))))"),31.81177063)</f>
        <v>31.811770630000002</v>
      </c>
      <c r="N44" s="186" t="s">
        <v>85</v>
      </c>
    </row>
    <row r="45" spans="1:14" ht="13" x14ac:dyDescent="0.15">
      <c r="A45" s="73" t="s">
        <v>626</v>
      </c>
      <c r="B45" s="74" t="s">
        <v>627</v>
      </c>
      <c r="C45" s="131" t="s">
        <v>964</v>
      </c>
      <c r="D45" s="79" t="s">
        <v>328</v>
      </c>
      <c r="E45" s="79" t="s">
        <v>328</v>
      </c>
      <c r="F45" s="77"/>
      <c r="G45" s="73" t="s">
        <v>626</v>
      </c>
      <c r="H45" s="74" t="s">
        <v>627</v>
      </c>
      <c r="I45" s="185" t="str">
        <f ca="1">IFERROR(__xludf.DUMMYFUNCTION("IF(D45=E45,C45,GOOGLEFINANCE(CONCATENATE(D45,E45))*C45)"),"8,777.38")</f>
        <v>8,777.38</v>
      </c>
      <c r="J45" s="79" t="s">
        <v>328</v>
      </c>
      <c r="K45" s="78">
        <f ca="1">IFERROR(__xludf.DUMMYFUNCTION("VALUE(IF(D45=""USD"",C45,IF(D45=""EUR"",C45/GOOGLEFINANCE(CONCATENATE(L45,N45)),IF(D45=E45,C45/GOOGLEFINANCE(CONCATENATE(L45,J45))))))"),60.77255418)</f>
        <v>60.77255418</v>
      </c>
      <c r="L45" s="186" t="s">
        <v>86</v>
      </c>
      <c r="M45" s="78">
        <f ca="1">IFERROR(__xludf.DUMMYFUNCTION("VALUE(IF(D45=""EUR"",C45,IF(D45=""USD"",GOOGLEFINANCE(CONCATENATE(L45,N45))*C45,IF(D45=E45,C45/GOOGLEFINANCE(CONCATENATE(N45,J45))))))"),61.76449192)</f>
        <v>61.764491919999998</v>
      </c>
      <c r="N45" s="186" t="s">
        <v>85</v>
      </c>
    </row>
    <row r="46" spans="1:14" ht="13" x14ac:dyDescent="0.15">
      <c r="A46" s="73" t="s">
        <v>82</v>
      </c>
      <c r="B46" s="74" t="s">
        <v>122</v>
      </c>
      <c r="C46" s="131" t="s">
        <v>965</v>
      </c>
      <c r="D46" s="79" t="s">
        <v>123</v>
      </c>
      <c r="E46" s="79" t="s">
        <v>123</v>
      </c>
      <c r="F46" s="77"/>
      <c r="G46" s="73" t="s">
        <v>82</v>
      </c>
      <c r="H46" s="74" t="s">
        <v>122</v>
      </c>
      <c r="I46" s="185" t="str">
        <f ca="1">IFERROR(__xludf.DUMMYFUNCTION("IF(D46=E46,C46,GOOGLEFINANCE(CONCATENATE(D46,E46))*C46)"),"1,603.58")</f>
        <v>1,603.58</v>
      </c>
      <c r="J46" s="79" t="s">
        <v>123</v>
      </c>
      <c r="K46" s="78">
        <f ca="1">IFERROR(__xludf.DUMMYFUNCTION("VALUE(IF(D46=""USD"",C46,IF(D46=""EUR"",C46/GOOGLEFINANCE(CONCATENATE(L46,N46)),IF(D46=E46,C46/GOOGLEFINANCE(CONCATENATE(L46,J46))))))"),19.38470093)</f>
        <v>19.384700930000001</v>
      </c>
      <c r="L46" s="186" t="s">
        <v>86</v>
      </c>
      <c r="M46" s="78">
        <f ca="1">IFERROR(__xludf.DUMMYFUNCTION("VALUE(IF(D46=""EUR"",C46,IF(D46=""USD"",GOOGLEFINANCE(CONCATENATE(L46,N46))*C46,IF(D46=E46,C46/GOOGLEFINANCE(CONCATENATE(N46,J46))))))"),19.72787107)</f>
        <v>19.727871069999999</v>
      </c>
      <c r="N46" s="186" t="s">
        <v>85</v>
      </c>
    </row>
    <row r="47" spans="1:14" ht="13" x14ac:dyDescent="0.15">
      <c r="A47" s="73" t="s">
        <v>76</v>
      </c>
      <c r="B47" s="74" t="s">
        <v>124</v>
      </c>
      <c r="C47" s="131" t="s">
        <v>966</v>
      </c>
      <c r="D47" s="79" t="s">
        <v>125</v>
      </c>
      <c r="E47" s="79" t="s">
        <v>125</v>
      </c>
      <c r="F47" s="77"/>
      <c r="G47" s="73" t="s">
        <v>76</v>
      </c>
      <c r="H47" s="74" t="s">
        <v>124</v>
      </c>
      <c r="I47" s="185" t="str">
        <f ca="1">IFERROR(__xludf.DUMMYFUNCTION("IF(D47=E47,C47,GOOGLEFINANCE(CONCATENATE(D47,E47))*C47)"),"415,964.09")</f>
        <v>415,964.09</v>
      </c>
      <c r="J47" s="79" t="s">
        <v>125</v>
      </c>
      <c r="K47" s="78">
        <f ca="1">IFERROR(__xludf.DUMMYFUNCTION("VALUE(IF(D47=""USD"",C47,IF(D47=""EUR"",C47/GOOGLEFINANCE(CONCATENATE(L47,N47)),IF(D47=E47,C47/GOOGLEFINANCE(CONCATENATE(L47,J47))))))"),26.70373564)</f>
        <v>26.703735640000001</v>
      </c>
      <c r="L47" s="186" t="s">
        <v>86</v>
      </c>
      <c r="M47" s="78">
        <f ca="1">IFERROR(__xludf.DUMMYFUNCTION("VALUE(IF(D47=""EUR"",C47,IF(D47=""USD"",GOOGLEFINANCE(CONCATENATE(L47,N47))*C47,IF(D47=E47,C47/GOOGLEFINANCE(CONCATENATE(N47,J47))))))"),27.13959757)</f>
        <v>27.139597569999999</v>
      </c>
      <c r="N47" s="186" t="s">
        <v>85</v>
      </c>
    </row>
    <row r="48" spans="1:14" ht="13" x14ac:dyDescent="0.15">
      <c r="A48" s="73" t="s">
        <v>625</v>
      </c>
      <c r="B48" s="74" t="s">
        <v>324</v>
      </c>
      <c r="C48" s="131" t="s">
        <v>967</v>
      </c>
      <c r="D48" s="97" t="s">
        <v>86</v>
      </c>
      <c r="E48" s="85" t="s">
        <v>325</v>
      </c>
      <c r="F48" s="77"/>
      <c r="G48" s="73" t="s">
        <v>625</v>
      </c>
      <c r="H48" s="74" t="s">
        <v>324</v>
      </c>
      <c r="I48" s="185">
        <f ca="1">IFERROR(__xludf.DUMMYFUNCTION("IF(D48=E48,C48,GOOGLEFINANCE(CONCATENATE(D48,E48))*C48)"),1043080.5)</f>
        <v>1043080.5</v>
      </c>
      <c r="J48" s="85" t="s">
        <v>325</v>
      </c>
      <c r="K48" s="78">
        <f ca="1">IFERROR(__xludf.DUMMYFUNCTION("VALUE(IF(D48=""USD"",C48,IF(D48=""EUR"",C48/GOOGLEFINANCE(CONCATENATE(L48,N48)),IF(D48=E48,C48/GOOGLEFINANCE(CONCATENATE(L48,J48))))))"),24.63)</f>
        <v>24.63</v>
      </c>
      <c r="L48" s="186" t="s">
        <v>86</v>
      </c>
      <c r="M48" s="78">
        <f ca="1">IFERROR(__xludf.DUMMYFUNCTION("VALUE(IF(D48=""EUR"",C48,IF(D48=""USD"",GOOGLEFINANCE(CONCATENATE(L48,N48))*C48,IF(D48=E48,C48/GOOGLEFINANCE(CONCATENATE(N48,J48))))))"),25.03331625)</f>
        <v>25.033316249999999</v>
      </c>
      <c r="N48" s="186" t="s">
        <v>85</v>
      </c>
    </row>
    <row r="49" spans="1:14" ht="13" x14ac:dyDescent="0.15">
      <c r="A49" s="73" t="s">
        <v>623</v>
      </c>
      <c r="B49" s="74" t="s">
        <v>624</v>
      </c>
      <c r="C49" s="131" t="s">
        <v>968</v>
      </c>
      <c r="D49" s="97" t="s">
        <v>86</v>
      </c>
      <c r="E49" s="85" t="s">
        <v>322</v>
      </c>
      <c r="F49" s="77"/>
      <c r="G49" s="73" t="s">
        <v>623</v>
      </c>
      <c r="H49" s="74" t="s">
        <v>624</v>
      </c>
      <c r="I49" s="185">
        <f ca="1">IFERROR(__xludf.DUMMYFUNCTION("IF(D49=E49,C49,GOOGLEFINANCE(CONCATENATE(D49,E49))*C49)"),47670.84206)</f>
        <v>47670.842060000003</v>
      </c>
      <c r="J49" s="85" t="s">
        <v>322</v>
      </c>
      <c r="K49" s="78">
        <f ca="1">IFERROR(__xludf.DUMMYFUNCTION("VALUE(IF(D49=""USD"",C49,IF(D49=""EUR"",C49/GOOGLEFINANCE(CONCATENATE(L49,N49)),IF(D49=E49,C49/GOOGLEFINANCE(CONCATENATE(L49,J49))))))"),32.98)</f>
        <v>32.979999999999997</v>
      </c>
      <c r="L49" s="186" t="s">
        <v>86</v>
      </c>
      <c r="M49" s="78">
        <f ca="1">IFERROR(__xludf.DUMMYFUNCTION("VALUE(IF(D49=""EUR"",C49,IF(D49=""USD"",GOOGLEFINANCE(CONCATENATE(L49,N49))*C49,IF(D49=E49,C49/GOOGLEFINANCE(CONCATENATE(N49,J49))))))"),33.5200475)</f>
        <v>33.520047499999997</v>
      </c>
      <c r="N49" s="186" t="s">
        <v>85</v>
      </c>
    </row>
    <row r="50" spans="1:14" ht="13" x14ac:dyDescent="0.15">
      <c r="A50" s="73" t="s">
        <v>30</v>
      </c>
      <c r="B50" s="74" t="s">
        <v>126</v>
      </c>
      <c r="C50" s="131" t="s">
        <v>969</v>
      </c>
      <c r="D50" s="79" t="s">
        <v>85</v>
      </c>
      <c r="E50" s="79" t="s">
        <v>85</v>
      </c>
      <c r="F50" s="77"/>
      <c r="G50" s="73" t="s">
        <v>30</v>
      </c>
      <c r="H50" s="74" t="s">
        <v>126</v>
      </c>
      <c r="I50" s="185" t="str">
        <f ca="1">IFERROR(__xludf.DUMMYFUNCTION("IF(D50=E50,C50,GOOGLEFINANCE(CONCATENATE(D50,E50))*C50)"),"44.65")</f>
        <v>44.65</v>
      </c>
      <c r="J50" s="79" t="s">
        <v>85</v>
      </c>
      <c r="K50" s="78">
        <f ca="1">IFERROR(__xludf.DUMMYFUNCTION("VALUE(IF(D50=""USD"",C50,IF(D50=""EUR"",C50/GOOGLEFINANCE(CONCATENATE(L50,N50)),IF(D50=E50,C50/GOOGLEFINANCE(CONCATENATE(L50,J50))))))"),43.93063584)</f>
        <v>43.930635840000001</v>
      </c>
      <c r="L50" s="186" t="s">
        <v>86</v>
      </c>
      <c r="M50" s="78">
        <f ca="1">IFERROR(__xludf.DUMMYFUNCTION("VALUE(IF(D50=""EUR"",C50,IF(D50=""USD"",GOOGLEFINANCE(CONCATENATE(L50,N50))*C50,IF(D50=E50,C50/GOOGLEFINANCE(CONCATENATE(N50,J50))))))"),44.65)</f>
        <v>44.65</v>
      </c>
      <c r="N50" s="186" t="s">
        <v>85</v>
      </c>
    </row>
    <row r="51" spans="1:14" ht="13" x14ac:dyDescent="0.15">
      <c r="A51" s="73" t="s">
        <v>38</v>
      </c>
      <c r="B51" s="74" t="s">
        <v>127</v>
      </c>
      <c r="C51" s="131" t="s">
        <v>970</v>
      </c>
      <c r="D51" s="79" t="s">
        <v>128</v>
      </c>
      <c r="E51" s="79" t="s">
        <v>128</v>
      </c>
      <c r="F51" s="77"/>
      <c r="G51" s="73" t="s">
        <v>38</v>
      </c>
      <c r="H51" s="74" t="s">
        <v>127</v>
      </c>
      <c r="I51" s="185" t="str">
        <f ca="1">IFERROR(__xludf.DUMMYFUNCTION("IF(D51=E51,C51,GOOGLEFINANCE(CONCATENATE(D51,E51))*C51)"),"239.19")</f>
        <v>239.19</v>
      </c>
      <c r="J51" s="79" t="s">
        <v>128</v>
      </c>
      <c r="K51" s="78">
        <f ca="1">IFERROR(__xludf.DUMMYFUNCTION("VALUE(IF(D51=""USD"",C51,IF(D51=""EUR"",C51/GOOGLEFINANCE(CONCATENATE(L51,N51)),IF(D51=E51,C51/GOOGLEFINANCE(CONCATENATE(L51,J51))))))"),67.46421807)</f>
        <v>67.464218070000001</v>
      </c>
      <c r="L51" s="186" t="s">
        <v>86</v>
      </c>
      <c r="M51" s="78">
        <f ca="1">IFERROR(__xludf.DUMMYFUNCTION("VALUE(IF(D51=""EUR"",C51,IF(D51=""USD"",GOOGLEFINANCE(CONCATENATE(L51,N51))*C51,IF(D51=E51,C51/GOOGLEFINANCE(CONCATENATE(N51,J51))))))"),68.59084652)</f>
        <v>68.590846519999999</v>
      </c>
      <c r="N51" s="186" t="s">
        <v>85</v>
      </c>
    </row>
    <row r="52" spans="1:14" ht="13" x14ac:dyDescent="0.15">
      <c r="A52" s="73" t="s">
        <v>34</v>
      </c>
      <c r="B52" s="74" t="s">
        <v>129</v>
      </c>
      <c r="C52" s="131" t="s">
        <v>971</v>
      </c>
      <c r="D52" s="79" t="s">
        <v>85</v>
      </c>
      <c r="E52" s="79" t="s">
        <v>85</v>
      </c>
      <c r="F52" s="77"/>
      <c r="G52" s="73" t="s">
        <v>34</v>
      </c>
      <c r="H52" s="74" t="s">
        <v>129</v>
      </c>
      <c r="I52" s="185" t="str">
        <f ca="1">IFERROR(__xludf.DUMMYFUNCTION("IF(D52=E52,C52,GOOGLEFINANCE(CONCATENATE(D52,E52))*C52)"),"46.21")</f>
        <v>46.21</v>
      </c>
      <c r="J52" s="79" t="s">
        <v>85</v>
      </c>
      <c r="K52" s="78">
        <f ca="1">IFERROR(__xludf.DUMMYFUNCTION("VALUE(IF(D52=""USD"",C52,IF(D52=""EUR"",C52/GOOGLEFINANCE(CONCATENATE(L52,N52)),IF(D52=E52,C52/GOOGLEFINANCE(CONCATENATE(L52,J52))))))"),45.4655024)</f>
        <v>45.465502399999998</v>
      </c>
      <c r="L52" s="186" t="s">
        <v>86</v>
      </c>
      <c r="M52" s="78">
        <f ca="1">IFERROR(__xludf.DUMMYFUNCTION("VALUE(IF(D52=""EUR"",C52,IF(D52=""USD"",GOOGLEFINANCE(CONCATENATE(L52,N52))*C52,IF(D52=E52,C52/GOOGLEFINANCE(CONCATENATE(N52,J52))))))"),46.21)</f>
        <v>46.21</v>
      </c>
      <c r="N52" s="186" t="s">
        <v>85</v>
      </c>
    </row>
    <row r="53" spans="1:14" ht="13" x14ac:dyDescent="0.15">
      <c r="A53" s="73" t="s">
        <v>628</v>
      </c>
      <c r="B53" s="74" t="s">
        <v>629</v>
      </c>
      <c r="C53" s="131" t="s">
        <v>972</v>
      </c>
      <c r="D53" s="79" t="s">
        <v>333</v>
      </c>
      <c r="E53" s="79" t="s">
        <v>333</v>
      </c>
      <c r="F53" s="77"/>
      <c r="G53" s="73" t="s">
        <v>628</v>
      </c>
      <c r="H53" s="74" t="s">
        <v>629</v>
      </c>
      <c r="I53" s="185" t="str">
        <f ca="1">IFERROR(__xludf.DUMMYFUNCTION("IF(D53=E53,C53,GOOGLEFINANCE(CONCATENATE(D53,E53))*C53)"),"6,101.07")</f>
        <v>6,101.07</v>
      </c>
      <c r="J53" s="79" t="s">
        <v>333</v>
      </c>
      <c r="K53" s="78">
        <f ca="1">IFERROR(__xludf.DUMMYFUNCTION("VALUE(IF(D53=""USD"",C53,IF(D53=""EUR"",C53/GOOGLEFINANCE(CONCATENATE(L53,N53)),IF(D53=E53,C53/GOOGLEFINANCE(CONCATENATE(L53,J53))))))"),40.26192055)</f>
        <v>40.261920549999999</v>
      </c>
      <c r="L53" s="186" t="s">
        <v>86</v>
      </c>
      <c r="M53" s="78">
        <f ca="1">IFERROR(__xludf.DUMMYFUNCTION("VALUE(IF(D53=""EUR"",C53,IF(D53=""USD"",GOOGLEFINANCE(CONCATENATE(L53,N53))*C53,IF(D53=E53,C53/GOOGLEFINANCE(CONCATENATE(N53,J53))))))"),40.919081)</f>
        <v>40.919080999999998</v>
      </c>
      <c r="N53" s="186" t="s">
        <v>85</v>
      </c>
    </row>
    <row r="54" spans="1:14" ht="13" x14ac:dyDescent="0.15">
      <c r="A54" s="73" t="s">
        <v>67</v>
      </c>
      <c r="B54" s="74" t="s">
        <v>130</v>
      </c>
      <c r="C54" s="131" t="s">
        <v>973</v>
      </c>
      <c r="D54" s="79" t="s">
        <v>131</v>
      </c>
      <c r="E54" s="79" t="s">
        <v>131</v>
      </c>
      <c r="F54" s="77"/>
      <c r="G54" s="73" t="s">
        <v>67</v>
      </c>
      <c r="H54" s="74" t="s">
        <v>130</v>
      </c>
      <c r="I54" s="185" t="str">
        <f ca="1">IFERROR(__xludf.DUMMYFUNCTION("IF(D54=E54,C54,GOOGLEFINANCE(CONCATENATE(D54,E54))*C54)"),"8,482.40")</f>
        <v>8,482.40</v>
      </c>
      <c r="J54" s="79" t="s">
        <v>131</v>
      </c>
      <c r="K54" s="78">
        <f ca="1">IFERROR(__xludf.DUMMYFUNCTION("VALUE(IF(D54=""USD"",C54,IF(D54=""EUR"",C54/GOOGLEFINANCE(CONCATENATE(L54,N54)),IF(D54=E54,C54/GOOGLEFINANCE(CONCATENATE(L54,J54))))))"),56.82493426)</f>
        <v>56.824934259999999</v>
      </c>
      <c r="L54" s="186" t="s">
        <v>86</v>
      </c>
      <c r="M54" s="78">
        <f ca="1">IFERROR(__xludf.DUMMYFUNCTION("VALUE(IF(D54=""EUR"",C54,IF(D54=""USD"",GOOGLEFINANCE(CONCATENATE(L54,N54))*C54,IF(D54=E54,C54/GOOGLEFINANCE(CONCATENATE(N54,J54))))))"),57.7538869)</f>
        <v>57.753886899999998</v>
      </c>
      <c r="N54" s="186" t="s">
        <v>85</v>
      </c>
    </row>
    <row r="55" spans="1:14" ht="13" x14ac:dyDescent="0.15">
      <c r="A55" s="73" t="s">
        <v>630</v>
      </c>
      <c r="B55" s="74" t="s">
        <v>631</v>
      </c>
      <c r="C55" s="131" t="s">
        <v>974</v>
      </c>
      <c r="D55" s="79" t="s">
        <v>336</v>
      </c>
      <c r="E55" s="79" t="s">
        <v>336</v>
      </c>
      <c r="F55" s="77"/>
      <c r="G55" s="73" t="s">
        <v>630</v>
      </c>
      <c r="H55" s="74" t="s">
        <v>631</v>
      </c>
      <c r="I55" s="185" t="str">
        <f ca="1">IFERROR(__xludf.DUMMYFUNCTION("IF(D55=E55,C55,GOOGLEFINANCE(CONCATENATE(D55,E55))*C55)"),"35.83")</f>
        <v>35.83</v>
      </c>
      <c r="J55" s="79" t="s">
        <v>336</v>
      </c>
      <c r="K55" s="78">
        <f ca="1">IFERROR(__xludf.DUMMYFUNCTION("VALUE(IF(D55=""USD"",C55,IF(D55=""EUR"",C55/GOOGLEFINANCE(CONCATENATE(L55,N55)),IF(D55=E55,C55/GOOGLEFINANCE(CONCATENATE(L55,J55))))))"),50.53596615)</f>
        <v>50.53596615</v>
      </c>
      <c r="L55" s="186" t="s">
        <v>86</v>
      </c>
      <c r="M55" s="78">
        <f ca="1">IFERROR(__xludf.DUMMYFUNCTION("VALUE(IF(D55=""EUR"",C55,IF(D55=""USD"",GOOGLEFINANCE(CONCATENATE(L55,N55))*C55,IF(D55=E55,C55/GOOGLEFINANCE(CONCATENATE(N55,J55))))))"),51.36082093)</f>
        <v>51.360820930000003</v>
      </c>
      <c r="N55" s="186" t="s">
        <v>85</v>
      </c>
    </row>
    <row r="56" spans="1:14" ht="13" x14ac:dyDescent="0.15">
      <c r="A56" s="73" t="s">
        <v>49</v>
      </c>
      <c r="B56" s="74" t="s">
        <v>132</v>
      </c>
      <c r="C56" s="131" t="s">
        <v>975</v>
      </c>
      <c r="D56" s="79" t="s">
        <v>133</v>
      </c>
      <c r="E56" s="79" t="s">
        <v>133</v>
      </c>
      <c r="F56" s="77"/>
      <c r="G56" s="73" t="s">
        <v>49</v>
      </c>
      <c r="H56" s="74" t="s">
        <v>132</v>
      </c>
      <c r="I56" s="185" t="str">
        <f ca="1">IFERROR(__xludf.DUMMYFUNCTION("IF(D56=E56,C56,GOOGLEFINANCE(CONCATENATE(D56,E56))*C56)"),"15,823.92")</f>
        <v>15,823.92</v>
      </c>
      <c r="J56" s="79" t="s">
        <v>133</v>
      </c>
      <c r="K56" s="78">
        <f ca="1">IFERROR(__xludf.DUMMYFUNCTION("VALUE(IF(D56=""USD"",C56,IF(D56=""EUR"",C56/GOOGLEFINANCE(CONCATENATE(L56,N56)),IF(D56=E56,C56/GOOGLEFINANCE(CONCATENATE(L56,J56))))))"),33.76154932)</f>
        <v>33.76154932</v>
      </c>
      <c r="L56" s="186" t="s">
        <v>86</v>
      </c>
      <c r="M56" s="78">
        <f ca="1">IFERROR(__xludf.DUMMYFUNCTION("VALUE(IF(D56=""EUR"",C56,IF(D56=""USD"",GOOGLEFINANCE(CONCATENATE(L56,N56))*C56,IF(D56=E56,C56/GOOGLEFINANCE(CONCATENATE(N56,J56))))))"),34.31260983)</f>
        <v>34.31260983</v>
      </c>
      <c r="N56" s="186" t="s">
        <v>85</v>
      </c>
    </row>
    <row r="57" spans="1:14" ht="13" x14ac:dyDescent="0.15">
      <c r="A57" s="73" t="s">
        <v>635</v>
      </c>
      <c r="B57" s="74" t="s">
        <v>636</v>
      </c>
      <c r="C57" s="131" t="s">
        <v>976</v>
      </c>
      <c r="D57" s="79" t="s">
        <v>341</v>
      </c>
      <c r="E57" s="79" t="s">
        <v>341</v>
      </c>
      <c r="F57" s="77"/>
      <c r="G57" s="73" t="s">
        <v>635</v>
      </c>
      <c r="H57" s="74" t="s">
        <v>636</v>
      </c>
      <c r="I57" s="185" t="str">
        <f ca="1">IFERROR(__xludf.DUMMYFUNCTION("IF(D57=E57,C57,GOOGLEFINANCE(CONCATENATE(D57,E57))*C57)"),"5,027.03")</f>
        <v>5,027.03</v>
      </c>
      <c r="J57" s="79" t="s">
        <v>341</v>
      </c>
      <c r="K57" s="78">
        <f ca="1">IFERROR(__xludf.DUMMYFUNCTION("VALUE(IF(D57=""USD"",C57,IF(D57=""EUR"",C57/GOOGLEFINANCE(CONCATENATE(L57,N57)),IF(D57=E57,C57/GOOGLEFINANCE(CONCATENATE(L57,J57))))))"),41.46004124)</f>
        <v>41.460041240000002</v>
      </c>
      <c r="L57" s="186" t="s">
        <v>86</v>
      </c>
      <c r="M57" s="78">
        <f ca="1">IFERROR(__xludf.DUMMYFUNCTION("VALUE(IF(D57=""EUR"",C57,IF(D57=""USD"",GOOGLEFINANCE(CONCATENATE(L57,N57))*C57,IF(D57=E57,C57/GOOGLEFINANCE(CONCATENATE(N57,J57))))))"),42.13675756)</f>
        <v>42.13675756</v>
      </c>
      <c r="N57" s="186" t="s">
        <v>85</v>
      </c>
    </row>
    <row r="58" spans="1:14" ht="13" x14ac:dyDescent="0.15">
      <c r="A58" s="73" t="s">
        <v>647</v>
      </c>
      <c r="B58" s="74" t="s">
        <v>648</v>
      </c>
      <c r="C58" s="131" t="s">
        <v>977</v>
      </c>
      <c r="D58" s="79" t="s">
        <v>352</v>
      </c>
      <c r="E58" s="79" t="s">
        <v>352</v>
      </c>
      <c r="F58" s="77"/>
      <c r="G58" s="73" t="s">
        <v>647</v>
      </c>
      <c r="H58" s="74" t="s">
        <v>648</v>
      </c>
      <c r="I58" s="185" t="str">
        <f ca="1">IFERROR(__xludf.DUMMYFUNCTION("IF(D58=E58,C58,GOOGLEFINANCE(CONCATENATE(D58,E58))*C58)"),"33.80")</f>
        <v>33.80</v>
      </c>
      <c r="J58" s="79" t="s">
        <v>352</v>
      </c>
      <c r="K58" s="78">
        <f ca="1">IFERROR(__xludf.DUMMYFUNCTION("VALUE(IF(D58=""USD"",C58,IF(D58=""EUR"",C58/GOOGLEFINANCE(CONCATENATE(L58,N58)),IF(D58=E58,C58/GOOGLEFINANCE(CONCATENATE(L58,J58))))))"),108.9128053)</f>
        <v>108.9128053</v>
      </c>
      <c r="L58" s="186" t="s">
        <v>86</v>
      </c>
      <c r="M58" s="78">
        <f ca="1">IFERROR(__xludf.DUMMYFUNCTION("VALUE(IF(D58=""EUR"",C58,IF(D58=""USD"",GOOGLEFINANCE(CONCATENATE(L58,N58))*C58,IF(D58=E58,C58/GOOGLEFINANCE(CONCATENATE(N58,J58))))))"),110.6904947)</f>
        <v>110.6904947</v>
      </c>
      <c r="N58" s="186" t="s">
        <v>85</v>
      </c>
    </row>
    <row r="59" spans="1:14" ht="13" x14ac:dyDescent="0.15">
      <c r="A59" s="73" t="s">
        <v>640</v>
      </c>
      <c r="B59" s="74" t="s">
        <v>641</v>
      </c>
      <c r="C59" s="131" t="s">
        <v>978</v>
      </c>
      <c r="D59" s="79" t="s">
        <v>344</v>
      </c>
      <c r="E59" s="79" t="s">
        <v>344</v>
      </c>
      <c r="F59" s="77"/>
      <c r="G59" s="73" t="s">
        <v>640</v>
      </c>
      <c r="H59" s="74" t="s">
        <v>641</v>
      </c>
      <c r="I59" s="185" t="str">
        <f ca="1">IFERROR(__xludf.DUMMYFUNCTION("IF(D59=E59,C59,GOOGLEFINANCE(CONCATENATE(D59,E59))*C59)"),"3,053.85")</f>
        <v>3,053.85</v>
      </c>
      <c r="J59" s="79" t="s">
        <v>344</v>
      </c>
      <c r="K59" s="78">
        <f ca="1">IFERROR(__xludf.DUMMYFUNCTION("VALUE(IF(D59=""USD"",C59,IF(D59=""EUR"",C59/GOOGLEFINANCE(CONCATENATE(L59,N59)),IF(D59=E59,C59/GOOGLEFINANCE(CONCATENATE(L59,J59))))))"),36.9655528)</f>
        <v>36.965552799999998</v>
      </c>
      <c r="L59" s="186" t="s">
        <v>86</v>
      </c>
      <c r="M59" s="78">
        <f ca="1">IFERROR(__xludf.DUMMYFUNCTION("VALUE(IF(D59=""EUR"",C59,IF(D59=""USD"",GOOGLEFINANCE(CONCATENATE(L59,N59))*C59,IF(D59=E59,C59/GOOGLEFINANCE(CONCATENATE(N59,J59))))))"),37.56890949)</f>
        <v>37.568909490000003</v>
      </c>
      <c r="N59" s="186" t="s">
        <v>85</v>
      </c>
    </row>
    <row r="60" spans="1:14" ht="13" x14ac:dyDescent="0.15">
      <c r="A60" s="73" t="s">
        <v>650</v>
      </c>
      <c r="B60" s="74" t="s">
        <v>651</v>
      </c>
      <c r="C60" s="131" t="s">
        <v>979</v>
      </c>
      <c r="D60" s="97" t="s">
        <v>86</v>
      </c>
      <c r="E60" s="85" t="s">
        <v>357</v>
      </c>
      <c r="F60" s="77"/>
      <c r="G60" s="73" t="s">
        <v>650</v>
      </c>
      <c r="H60" s="74" t="s">
        <v>651</v>
      </c>
      <c r="I60" s="185">
        <f ca="1">IFERROR(__xludf.DUMMYFUNCTION("IF(D60=E60,C60,GOOGLEFINANCE(CONCATENATE(D60,E60))*C60)"),586559.2026)</f>
        <v>586559.20259999996</v>
      </c>
      <c r="J60" s="85" t="s">
        <v>357</v>
      </c>
      <c r="K60" s="78">
        <f ca="1">IFERROR(__xludf.DUMMYFUNCTION("VALUE(IF(D60=""USD"",C60,IF(D60=""EUR"",C60/GOOGLEFINANCE(CONCATENATE(L60,N60)),IF(D60=E60,C60/GOOGLEFINANCE(CONCATENATE(L60,J60))))))"),34.22)</f>
        <v>34.22</v>
      </c>
      <c r="L60" s="186" t="s">
        <v>86</v>
      </c>
      <c r="M60" s="78">
        <f ca="1">IFERROR(__xludf.DUMMYFUNCTION("VALUE(IF(D60=""EUR"",C60,IF(D60=""USD"",GOOGLEFINANCE(CONCATENATE(L60,N60))*C60,IF(D60=E60,C60/GOOGLEFINANCE(CONCATENATE(N60,J60))))))"),34.7803525)</f>
        <v>34.780352499999999</v>
      </c>
      <c r="N60" s="186" t="s">
        <v>85</v>
      </c>
    </row>
    <row r="61" spans="1:14" ht="13" x14ac:dyDescent="0.15">
      <c r="A61" s="73" t="s">
        <v>44</v>
      </c>
      <c r="B61" s="74" t="s">
        <v>134</v>
      </c>
      <c r="C61" s="131" t="s">
        <v>980</v>
      </c>
      <c r="D61" s="79" t="s">
        <v>85</v>
      </c>
      <c r="E61" s="79" t="s">
        <v>85</v>
      </c>
      <c r="F61" s="77"/>
      <c r="G61" s="73" t="s">
        <v>44</v>
      </c>
      <c r="H61" s="74" t="s">
        <v>134</v>
      </c>
      <c r="I61" s="185" t="str">
        <f ca="1">IFERROR(__xludf.DUMMYFUNCTION("IF(D61=E61,C61,GOOGLEFINANCE(CONCATENATE(D61,E61))*C61)"),"34.64")</f>
        <v>34.64</v>
      </c>
      <c r="J61" s="79" t="s">
        <v>85</v>
      </c>
      <c r="K61" s="78">
        <f ca="1">IFERROR(__xludf.DUMMYFUNCTION("VALUE(IF(D61=""USD"",C61,IF(D61=""EUR"",C61/GOOGLEFINANCE(CONCATENATE(L61,N61)),IF(D61=E61,C61/GOOGLEFINANCE(CONCATENATE(L61,J61))))))"),34.08190874)</f>
        <v>34.081908740000003</v>
      </c>
      <c r="L61" s="186" t="s">
        <v>86</v>
      </c>
      <c r="M61" s="78">
        <f ca="1">IFERROR(__xludf.DUMMYFUNCTION("VALUE(IF(D61=""EUR"",C61,IF(D61=""USD"",GOOGLEFINANCE(CONCATENATE(L61,N61))*C61,IF(D61=E61,C61/GOOGLEFINANCE(CONCATENATE(N61,J61))))))"),34.64)</f>
        <v>34.64</v>
      </c>
      <c r="N61" s="186" t="s">
        <v>85</v>
      </c>
    </row>
    <row r="62" spans="1:14" ht="13" x14ac:dyDescent="0.15">
      <c r="A62" s="73" t="s">
        <v>43</v>
      </c>
      <c r="B62" s="74" t="s">
        <v>135</v>
      </c>
      <c r="C62" s="131" t="s">
        <v>981</v>
      </c>
      <c r="D62" s="79" t="s">
        <v>85</v>
      </c>
      <c r="E62" s="79" t="s">
        <v>85</v>
      </c>
      <c r="F62" s="77"/>
      <c r="G62" s="73" t="s">
        <v>43</v>
      </c>
      <c r="H62" s="74" t="s">
        <v>135</v>
      </c>
      <c r="I62" s="185" t="str">
        <f ca="1">IFERROR(__xludf.DUMMYFUNCTION("IF(D62=E62,C62,GOOGLEFINANCE(CONCATENATE(D62,E62))*C62)"),"30.49")</f>
        <v>30.49</v>
      </c>
      <c r="J62" s="79" t="s">
        <v>85</v>
      </c>
      <c r="K62" s="78">
        <f ca="1">IFERROR(__xludf.DUMMYFUNCTION("VALUE(IF(D62=""USD"",C62,IF(D62=""EUR"",C62/GOOGLEFINANCE(CONCATENATE(L62,N62)),IF(D62=E62,C62/GOOGLEFINANCE(CONCATENATE(L62,J62))))))"),29.99877014)</f>
        <v>29.998770140000001</v>
      </c>
      <c r="L62" s="186" t="s">
        <v>86</v>
      </c>
      <c r="M62" s="78">
        <f ca="1">IFERROR(__xludf.DUMMYFUNCTION("VALUE(IF(D62=""EUR"",C62,IF(D62=""USD"",GOOGLEFINANCE(CONCATENATE(L62,N62))*C62,IF(D62=E62,C62/GOOGLEFINANCE(CONCATENATE(N62,J62))))))"),30.49)</f>
        <v>30.49</v>
      </c>
      <c r="N62" s="186" t="s">
        <v>85</v>
      </c>
    </row>
    <row r="63" spans="1:14" ht="13" x14ac:dyDescent="0.15">
      <c r="A63" s="73" t="s">
        <v>653</v>
      </c>
      <c r="B63" s="74" t="s">
        <v>654</v>
      </c>
      <c r="C63" s="131" t="s">
        <v>982</v>
      </c>
      <c r="D63" s="79" t="s">
        <v>85</v>
      </c>
      <c r="E63" s="79" t="s">
        <v>85</v>
      </c>
      <c r="F63" s="77"/>
      <c r="G63" s="73" t="s">
        <v>653</v>
      </c>
      <c r="H63" s="74" t="s">
        <v>654</v>
      </c>
      <c r="I63" s="185" t="str">
        <f ca="1">IFERROR(__xludf.DUMMYFUNCTION("IF(D63=E63,C63,GOOGLEFINANCE(CONCATENATE(D63,E63))*C63)"),"46.92")</f>
        <v>46.92</v>
      </c>
      <c r="J63" s="79" t="s">
        <v>85</v>
      </c>
      <c r="K63" s="78">
        <f ca="1">IFERROR(__xludf.DUMMYFUNCTION("VALUE(IF(D63=""USD"",C63,IF(D63=""EUR"",C63/GOOGLEFINANCE(CONCATENATE(L63,N63)),IF(D63=E63,C63/GOOGLEFINANCE(CONCATENATE(L63,J63))))))"),46.16406346)</f>
        <v>46.164063460000001</v>
      </c>
      <c r="L63" s="186" t="s">
        <v>86</v>
      </c>
      <c r="M63" s="78">
        <f ca="1">IFERROR(__xludf.DUMMYFUNCTION("VALUE(IF(D63=""EUR"",C63,IF(D63=""USD"",GOOGLEFINANCE(CONCATENATE(L63,N63))*C63,IF(D63=E63,C63/GOOGLEFINANCE(CONCATENATE(N63,J63))))))"),46.92)</f>
        <v>46.92</v>
      </c>
      <c r="N63" s="186" t="s">
        <v>85</v>
      </c>
    </row>
    <row r="64" spans="1:14" ht="13" x14ac:dyDescent="0.15">
      <c r="A64" s="73" t="s">
        <v>655</v>
      </c>
      <c r="B64" s="74" t="s">
        <v>656</v>
      </c>
      <c r="C64" s="131" t="s">
        <v>983</v>
      </c>
      <c r="D64" s="79" t="s">
        <v>381</v>
      </c>
      <c r="E64" s="79" t="s">
        <v>381</v>
      </c>
      <c r="F64" s="77"/>
      <c r="G64" s="73" t="s">
        <v>655</v>
      </c>
      <c r="H64" s="74" t="s">
        <v>656</v>
      </c>
      <c r="I64" s="185" t="str">
        <f ca="1">IFERROR(__xludf.DUMMYFUNCTION("IF(D64=E64,C64,GOOGLEFINANCE(CONCATENATE(D64,E64))*C64)"),"193,333.33")</f>
        <v>193,333.33</v>
      </c>
      <c r="J64" s="79" t="s">
        <v>381</v>
      </c>
      <c r="K64" s="78">
        <f ca="1">IFERROR(__xludf.DUMMYFUNCTION("VALUE(IF(D64=""USD"",C64,IF(D64=""EUR"",C64/GOOGLEFINANCE(CONCATENATE(L64,N64)),IF(D64=E64,C64/GOOGLEFINANCE(CONCATENATE(L64,J64))))))"),45.73269695)</f>
        <v>45.732696949999998</v>
      </c>
      <c r="L64" s="186" t="s">
        <v>86</v>
      </c>
      <c r="M64" s="78">
        <f ca="1">IFERROR(__xludf.DUMMYFUNCTION("VALUE(IF(D64=""EUR"",C64,IF(D64=""USD"",GOOGLEFINANCE(CONCATENATE(L64,N64))*C64,IF(D64=E64,C64/GOOGLEFINANCE(CONCATENATE(N64,J64))))))"),46.47915214)</f>
        <v>46.479152139999997</v>
      </c>
      <c r="N64" s="186" t="s">
        <v>85</v>
      </c>
    </row>
    <row r="65" spans="1:14" ht="13" x14ac:dyDescent="0.15">
      <c r="A65" s="73" t="s">
        <v>73</v>
      </c>
      <c r="B65" s="74" t="s">
        <v>136</v>
      </c>
      <c r="C65" s="131" t="s">
        <v>984</v>
      </c>
      <c r="D65" s="79" t="s">
        <v>137</v>
      </c>
      <c r="E65" s="79" t="s">
        <v>137</v>
      </c>
      <c r="F65" s="77"/>
      <c r="G65" s="73" t="s">
        <v>73</v>
      </c>
      <c r="H65" s="74" t="s">
        <v>136</v>
      </c>
      <c r="I65" s="185" t="str">
        <f ca="1">IFERROR(__xludf.DUMMYFUNCTION("IF(D65=E65,C65,GOOGLEFINANCE(CONCATENATE(D65,E65))*C65)"),"137.25")</f>
        <v>137.25</v>
      </c>
      <c r="J65" s="79" t="s">
        <v>137</v>
      </c>
      <c r="K65" s="78">
        <f ca="1">IFERROR(__xludf.DUMMYFUNCTION("VALUE(IF(D65=""USD"",C65,IF(D65=""EUR"",C65/GOOGLEFINANCE(CONCATENATE(L65,N65)),IF(D65=E65,C65/GOOGLEFINANCE(CONCATENATE(L65,J65))))))"),28.96791895)</f>
        <v>28.967918950000001</v>
      </c>
      <c r="L65" s="186" t="s">
        <v>86</v>
      </c>
      <c r="M65" s="78">
        <f ca="1">IFERROR(__xludf.DUMMYFUNCTION("VALUE(IF(D65=""EUR"",C65,IF(D65=""USD"",GOOGLEFINANCE(CONCATENATE(L65,N65))*C65,IF(D65=E65,C65/GOOGLEFINANCE(CONCATENATE(N65,J65))))))"),29.44073719)</f>
        <v>29.44073719</v>
      </c>
      <c r="N65" s="186" t="s">
        <v>85</v>
      </c>
    </row>
    <row r="66" spans="1:14" ht="13" x14ac:dyDescent="0.15">
      <c r="A66" s="73" t="s">
        <v>657</v>
      </c>
      <c r="B66" s="74" t="s">
        <v>385</v>
      </c>
      <c r="C66" s="131" t="s">
        <v>985</v>
      </c>
      <c r="D66" s="79" t="s">
        <v>85</v>
      </c>
      <c r="E66" s="79" t="s">
        <v>85</v>
      </c>
      <c r="F66" s="77"/>
      <c r="G66" s="73" t="s">
        <v>657</v>
      </c>
      <c r="H66" s="74" t="s">
        <v>385</v>
      </c>
      <c r="I66" s="185" t="str">
        <f ca="1">IFERROR(__xludf.DUMMYFUNCTION("IF(D66=E66,C66,GOOGLEFINANCE(CONCATENATE(D66,E66))*C66)"),"58.48")</f>
        <v>58.48</v>
      </c>
      <c r="J66" s="79" t="s">
        <v>85</v>
      </c>
      <c r="K66" s="78">
        <f ca="1">IFERROR(__xludf.DUMMYFUNCTION("VALUE(IF(D66=""USD"",C66,IF(D66=""EUR"",C66/GOOGLEFINANCE(CONCATENATE(L66,N66)),IF(D66=E66,C66/GOOGLEFINANCE(CONCATENATE(L66,J66))))))"),57.53781823)</f>
        <v>57.537818229999999</v>
      </c>
      <c r="L66" s="186" t="s">
        <v>86</v>
      </c>
      <c r="M66" s="78">
        <f ca="1">IFERROR(__xludf.DUMMYFUNCTION("VALUE(IF(D66=""EUR"",C66,IF(D66=""USD"",GOOGLEFINANCE(CONCATENATE(L66,N66))*C66,IF(D66=E66,C66/GOOGLEFINANCE(CONCATENATE(N66,J66))))))"),58.48)</f>
        <v>58.48</v>
      </c>
      <c r="N66" s="186" t="s">
        <v>85</v>
      </c>
    </row>
    <row r="67" spans="1:14" ht="13" x14ac:dyDescent="0.15">
      <c r="A67" s="73" t="s">
        <v>658</v>
      </c>
      <c r="B67" s="74" t="s">
        <v>387</v>
      </c>
      <c r="C67" s="131" t="s">
        <v>986</v>
      </c>
      <c r="D67" s="79" t="s">
        <v>388</v>
      </c>
      <c r="E67" s="79" t="s">
        <v>388</v>
      </c>
      <c r="F67" s="77"/>
      <c r="G67" s="73" t="s">
        <v>658</v>
      </c>
      <c r="H67" s="74" t="s">
        <v>387</v>
      </c>
      <c r="I67" s="185" t="str">
        <f ca="1">IFERROR(__xludf.DUMMYFUNCTION("IF(D67=E67,C67,GOOGLEFINANCE(CONCATENATE(D67,E67))*C67)"),"1,432.00")</f>
        <v>1,432.00</v>
      </c>
      <c r="J67" s="79" t="s">
        <v>388</v>
      </c>
      <c r="K67" s="78">
        <f ca="1">IFERROR(__xludf.DUMMYFUNCTION("VALUE(IF(D67=""USD"",C67,IF(D67=""EUR"",C67/GOOGLEFINANCE(CONCATENATE(L67,N67)),IF(D67=E67,C67/GOOGLEFINANCE(CONCATENATE(L67,J67))))))"),32.36310317)</f>
        <v>32.363103170000002</v>
      </c>
      <c r="L67" s="186" t="s">
        <v>86</v>
      </c>
      <c r="M67" s="78">
        <f ca="1">IFERROR(__xludf.DUMMYFUNCTION("VALUE(IF(D67=""EUR"",C67,IF(D67=""USD"",GOOGLEFINANCE(CONCATENATE(L67,N67))*C67,IF(D67=E67,C67/GOOGLEFINANCE(CONCATENATE(N67,J67))))))"),32.89133806)</f>
        <v>32.891338060000002</v>
      </c>
      <c r="N67" s="186" t="s">
        <v>85</v>
      </c>
    </row>
    <row r="68" spans="1:14" ht="13" x14ac:dyDescent="0.15">
      <c r="A68" s="73" t="s">
        <v>58</v>
      </c>
      <c r="B68" s="74" t="s">
        <v>138</v>
      </c>
      <c r="C68" s="131" t="s">
        <v>987</v>
      </c>
      <c r="D68" s="79" t="s">
        <v>139</v>
      </c>
      <c r="E68" s="79" t="s">
        <v>139</v>
      </c>
      <c r="F68" s="77"/>
      <c r="G68" s="73" t="s">
        <v>58</v>
      </c>
      <c r="H68" s="74" t="s">
        <v>138</v>
      </c>
      <c r="I68" s="185" t="str">
        <f ca="1">IFERROR(__xludf.DUMMYFUNCTION("IF(D68=E68,C68,GOOGLEFINANCE(CONCATENATE(D68,E68))*C68)"),"587.13")</f>
        <v>587.13</v>
      </c>
      <c r="J68" s="79" t="s">
        <v>139</v>
      </c>
      <c r="K68" s="78">
        <f ca="1">IFERROR(__xludf.DUMMYFUNCTION("VALUE(IF(D68=""USD"",C68,IF(D68=""EUR"",C68/GOOGLEFINANCE(CONCATENATE(L68,N68)),IF(D68=E68,C68/GOOGLEFINANCE(CONCATENATE(L68,J68))))))"),29.40690343)</f>
        <v>29.40690343</v>
      </c>
      <c r="L68" s="186" t="s">
        <v>86</v>
      </c>
      <c r="M68" s="78">
        <f ca="1">IFERROR(__xludf.DUMMYFUNCTION("VALUE(IF(D68=""EUR"",C68,IF(D68=""USD"",GOOGLEFINANCE(CONCATENATE(L68,N68))*C68,IF(D68=E68,C68/GOOGLEFINANCE(CONCATENATE(N68,J68))))))"),29.88707021)</f>
        <v>29.887070210000001</v>
      </c>
      <c r="N68" s="186" t="s">
        <v>85</v>
      </c>
    </row>
    <row r="69" spans="1:14" ht="13" x14ac:dyDescent="0.15">
      <c r="A69" s="73" t="s">
        <v>51</v>
      </c>
      <c r="B69" s="74" t="s">
        <v>140</v>
      </c>
      <c r="C69" s="131" t="s">
        <v>988</v>
      </c>
      <c r="D69" s="79" t="s">
        <v>141</v>
      </c>
      <c r="E69" s="79" t="s">
        <v>141</v>
      </c>
      <c r="F69" s="77"/>
      <c r="G69" s="73" t="s">
        <v>51</v>
      </c>
      <c r="H69" s="74" t="s">
        <v>140</v>
      </c>
      <c r="I69" s="185" t="str">
        <f ca="1">IFERROR(__xludf.DUMMYFUNCTION("IF(D69=E69,C69,GOOGLEFINANCE(CONCATENATE(D69,E69))*C69)"),"381.39")</f>
        <v>381.39</v>
      </c>
      <c r="J69" s="79" t="s">
        <v>141</v>
      </c>
      <c r="K69" s="78">
        <f ca="1">IFERROR(__xludf.DUMMYFUNCTION("VALUE(IF(D69=""USD"",C69,IF(D69=""EUR"",C69/GOOGLEFINANCE(CONCATENATE(L69,N69)),IF(D69=E69,C69/GOOGLEFINANCE(CONCATENATE(L69,J69))))))"),19.85072529)</f>
        <v>19.85072529</v>
      </c>
      <c r="L69" s="186" t="s">
        <v>86</v>
      </c>
      <c r="M69" s="78">
        <f ca="1">IFERROR(__xludf.DUMMYFUNCTION("VALUE(IF(D69=""EUR"",C69,IF(D69=""USD"",GOOGLEFINANCE(CONCATENATE(L69,N69))*C69,IF(D69=E69,C69/GOOGLEFINANCE(CONCATENATE(N69,J69))))))"),20.17473149)</f>
        <v>20.174731489999999</v>
      </c>
      <c r="N69" s="186" t="s">
        <v>85</v>
      </c>
    </row>
    <row r="70" spans="1:14" ht="13" x14ac:dyDescent="0.15">
      <c r="A70" s="73" t="s">
        <v>55</v>
      </c>
      <c r="B70" s="74" t="s">
        <v>142</v>
      </c>
      <c r="C70" s="131" t="s">
        <v>989</v>
      </c>
      <c r="D70" s="79" t="s">
        <v>85</v>
      </c>
      <c r="E70" s="79" t="s">
        <v>85</v>
      </c>
      <c r="F70" s="77"/>
      <c r="G70" s="73" t="s">
        <v>55</v>
      </c>
      <c r="H70" s="74" t="s">
        <v>142</v>
      </c>
      <c r="I70" s="185" t="str">
        <f ca="1">IFERROR(__xludf.DUMMYFUNCTION("IF(D70=E70,C70,GOOGLEFINANCE(CONCATENATE(D70,E70))*C70)"),"31.45")</f>
        <v>31.45</v>
      </c>
      <c r="J70" s="79" t="s">
        <v>85</v>
      </c>
      <c r="K70" s="78">
        <f ca="1">IFERROR(__xludf.DUMMYFUNCTION("VALUE(IF(D70=""USD"",C70,IF(D70=""EUR"",C70/GOOGLEFINANCE(CONCATENATE(L70,N70)),IF(D70=E70,C70/GOOGLEFINANCE(CONCATENATE(L70,J70))))))"),30.94330341)</f>
        <v>30.943303409999999</v>
      </c>
      <c r="L70" s="186" t="s">
        <v>86</v>
      </c>
      <c r="M70" s="78">
        <f ca="1">IFERROR(__xludf.DUMMYFUNCTION("VALUE(IF(D70=""EUR"",C70,IF(D70=""USD"",GOOGLEFINANCE(CONCATENATE(L70,N70))*C70,IF(D70=E70,C70/GOOGLEFINANCE(CONCATENATE(N70,J70))))))"),31.45)</f>
        <v>31.45</v>
      </c>
      <c r="N70" s="186" t="s">
        <v>85</v>
      </c>
    </row>
    <row r="71" spans="1:14" ht="13" x14ac:dyDescent="0.15">
      <c r="A71" s="73" t="s">
        <v>665</v>
      </c>
      <c r="B71" s="74" t="s">
        <v>666</v>
      </c>
      <c r="C71" s="131" t="s">
        <v>990</v>
      </c>
      <c r="D71" s="79" t="s">
        <v>667</v>
      </c>
      <c r="E71" s="79" t="s">
        <v>667</v>
      </c>
      <c r="F71" s="77"/>
      <c r="G71" s="73" t="s">
        <v>665</v>
      </c>
      <c r="H71" s="74" t="s">
        <v>666</v>
      </c>
      <c r="I71" s="185" t="str">
        <f ca="1">IFERROR(__xludf.DUMMYFUNCTION("IF(D71=E71,C71,GOOGLEFINANCE(CONCATENATE(D71,E71))*C71)"),"3,340.00")</f>
        <v>3,340.00</v>
      </c>
      <c r="J71" s="79" t="s">
        <v>667</v>
      </c>
      <c r="K71" s="78">
        <f ca="1">IFERROR(__xludf.DUMMYFUNCTION("VALUE(IF(D71=""USD"",C71,IF(D71=""EUR"",C71/GOOGLEFINANCE(CONCATENATE(L71,N71)),IF(D71=E71,C71/GOOGLEFINANCE(CONCATENATE(L71,J71))))))"),52.32649225)</f>
        <v>52.326492250000001</v>
      </c>
      <c r="L71" s="186" t="s">
        <v>86</v>
      </c>
      <c r="M71" s="78">
        <f ca="1">IFERROR(__xludf.DUMMYFUNCTION("VALUE(IF(D71=""EUR"",C71,IF(D71=""USD"",GOOGLEFINANCE(CONCATENATE(L71,N71))*C71,IF(D71=E71,C71/GOOGLEFINANCE(CONCATENATE(N71,J71))))))"),53.18057224)</f>
        <v>53.180572239999996</v>
      </c>
      <c r="N71" s="186" t="s">
        <v>85</v>
      </c>
    </row>
    <row r="72" spans="1:14" ht="13" x14ac:dyDescent="0.15">
      <c r="A72" s="73" t="s">
        <v>668</v>
      </c>
      <c r="B72" s="74" t="s">
        <v>394</v>
      </c>
      <c r="C72" s="131" t="s">
        <v>991</v>
      </c>
      <c r="D72" s="79" t="s">
        <v>395</v>
      </c>
      <c r="E72" s="79" t="s">
        <v>395</v>
      </c>
      <c r="F72" s="77"/>
      <c r="G72" s="73" t="s">
        <v>668</v>
      </c>
      <c r="H72" s="74" t="s">
        <v>394</v>
      </c>
      <c r="I72" s="185" t="str">
        <f ca="1">IFERROR(__xludf.DUMMYFUNCTION("IF(D72=E72,C72,GOOGLEFINANCE(CONCATENATE(D72,E72))*C72)"),"550.00")</f>
        <v>550.00</v>
      </c>
      <c r="J72" s="79" t="s">
        <v>395</v>
      </c>
      <c r="K72" s="78">
        <f ca="1">IFERROR(__xludf.DUMMYFUNCTION("VALUE(IF(D72=""USD"",C72,IF(D72=""EUR"",C72/GOOGLEFINANCE(CONCATENATE(L72,N72)),IF(D72=E72,C72/GOOGLEFINANCE(CONCATENATE(L72,J72))))))"),30.17004937)</f>
        <v>30.170049370000001</v>
      </c>
      <c r="L72" s="186" t="s">
        <v>86</v>
      </c>
      <c r="M72" s="78">
        <f ca="1">IFERROR(__xludf.DUMMYFUNCTION("VALUE(IF(D72=""EUR"",C72,IF(D72=""USD"",GOOGLEFINANCE(CONCATENATE(L72,N72))*C72,IF(D72=E72,C72/GOOGLEFINANCE(CONCATENATE(N72,J72))))))"),30.66248894)</f>
        <v>30.662488939999999</v>
      </c>
      <c r="N72" s="186" t="s">
        <v>85</v>
      </c>
    </row>
    <row r="73" spans="1:14" ht="13" x14ac:dyDescent="0.15">
      <c r="A73" s="73" t="s">
        <v>39</v>
      </c>
      <c r="B73" s="74" t="s">
        <v>143</v>
      </c>
      <c r="C73" s="131" t="s">
        <v>992</v>
      </c>
      <c r="D73" s="79" t="s">
        <v>85</v>
      </c>
      <c r="E73" s="79" t="s">
        <v>85</v>
      </c>
      <c r="F73" s="77"/>
      <c r="G73" s="73" t="s">
        <v>39</v>
      </c>
      <c r="H73" s="74" t="s">
        <v>143</v>
      </c>
      <c r="I73" s="185" t="str">
        <f ca="1">IFERROR(__xludf.DUMMYFUNCTION("IF(D73=E73,C73,GOOGLEFINANCE(CONCATENATE(D73,E73))*C73)"),"33.68")</f>
        <v>33.68</v>
      </c>
      <c r="J73" s="79" t="s">
        <v>85</v>
      </c>
      <c r="K73" s="78">
        <f ca="1">IFERROR(__xludf.DUMMYFUNCTION("VALUE(IF(D73=""USD"",C73,IF(D73=""EUR"",C73/GOOGLEFINANCE(CONCATENATE(L73,N73)),IF(D73=E73,C73/GOOGLEFINANCE(CONCATENATE(L73,J73))))))"),33.13737548)</f>
        <v>33.137375480000003</v>
      </c>
      <c r="L73" s="186" t="s">
        <v>86</v>
      </c>
      <c r="M73" s="78">
        <f ca="1">IFERROR(__xludf.DUMMYFUNCTION("VALUE(IF(D73=""EUR"",C73,IF(D73=""USD"",GOOGLEFINANCE(CONCATENATE(L73,N73))*C73,IF(D73=E73,C73/GOOGLEFINANCE(CONCATENATE(N73,J73))))))"),33.68)</f>
        <v>33.68</v>
      </c>
      <c r="N73" s="186" t="s">
        <v>85</v>
      </c>
    </row>
    <row r="74" spans="1:14" ht="13" x14ac:dyDescent="0.15">
      <c r="A74" s="73" t="s">
        <v>48</v>
      </c>
      <c r="B74" s="74" t="s">
        <v>144</v>
      </c>
      <c r="C74" s="131" t="s">
        <v>993</v>
      </c>
      <c r="D74" s="79" t="s">
        <v>145</v>
      </c>
      <c r="E74" s="79" t="s">
        <v>145</v>
      </c>
      <c r="F74" s="77"/>
      <c r="G74" s="73" t="s">
        <v>48</v>
      </c>
      <c r="H74" s="74" t="s">
        <v>144</v>
      </c>
      <c r="I74" s="185" t="str">
        <f ca="1">IFERROR(__xludf.DUMMYFUNCTION("IF(D74=E74,C74,GOOGLEFINANCE(CONCATENATE(D74,E74))*C74)"),"60.71")</f>
        <v>60.71</v>
      </c>
      <c r="J74" s="79" t="s">
        <v>145</v>
      </c>
      <c r="K74" s="78">
        <f ca="1">IFERROR(__xludf.DUMMYFUNCTION("VALUE(IF(D74=""USD"",C74,IF(D74=""EUR"",C74/GOOGLEFINANCE(CONCATENATE(L74,N74)),IF(D74=E74,C74/GOOGLEFINANCE(CONCATENATE(L74,J74))))))"),34.73430062)</f>
        <v>34.734300619999999</v>
      </c>
      <c r="L74" s="186" t="s">
        <v>86</v>
      </c>
      <c r="M74" s="78">
        <f ca="1">IFERROR(__xludf.DUMMYFUNCTION("VALUE(IF(D74=""EUR"",C74,IF(D74=""USD"",GOOGLEFINANCE(CONCATENATE(L74,N74))*C74,IF(D74=E74,C74/GOOGLEFINANCE(CONCATENATE(N74,J74))))))"),35.30287436)</f>
        <v>35.302874359999997</v>
      </c>
      <c r="N74" s="186" t="s">
        <v>85</v>
      </c>
    </row>
    <row r="75" spans="1:14" ht="13" x14ac:dyDescent="0.15">
      <c r="A75" s="73" t="s">
        <v>672</v>
      </c>
      <c r="B75" s="74" t="s">
        <v>673</v>
      </c>
      <c r="C75" s="131" t="s">
        <v>994</v>
      </c>
      <c r="D75" s="97" t="s">
        <v>86</v>
      </c>
      <c r="E75" s="85" t="s">
        <v>399</v>
      </c>
      <c r="F75" s="77"/>
      <c r="G75" s="73" t="s">
        <v>672</v>
      </c>
      <c r="H75" s="74" t="s">
        <v>673</v>
      </c>
      <c r="I75" s="185">
        <f ca="1">IFERROR(__xludf.DUMMYFUNCTION("IF(D75=E75,C75,GOOGLEFINANCE(CONCATENATE(D75,E75))*C75)"),985.3316268)</f>
        <v>985.33162679999998</v>
      </c>
      <c r="J75" s="85" t="s">
        <v>399</v>
      </c>
      <c r="K75" s="78">
        <f ca="1">IFERROR(__xludf.DUMMYFUNCTION("VALUE(IF(D75=""USD"",C75,IF(D75=""EUR"",C75/GOOGLEFINANCE(CONCATENATE(L75,N75)),IF(D75=E75,C75/GOOGLEFINANCE(CONCATENATE(L75,J75))))))"),27.66)</f>
        <v>27.66</v>
      </c>
      <c r="L75" s="186" t="s">
        <v>86</v>
      </c>
      <c r="M75" s="78">
        <f ca="1">IFERROR(__xludf.DUMMYFUNCTION("VALUE(IF(D75=""EUR"",C75,IF(D75=""USD"",GOOGLEFINANCE(CONCATENATE(L75,N75))*C75,IF(D75=E75,C75/GOOGLEFINANCE(CONCATENATE(N75,J75))))))"),28.1129325)</f>
        <v>28.112932499999999</v>
      </c>
      <c r="N75" s="186" t="s">
        <v>85</v>
      </c>
    </row>
    <row r="76" spans="1:14" ht="13" x14ac:dyDescent="0.15">
      <c r="A76" s="73" t="s">
        <v>66</v>
      </c>
      <c r="B76" s="74" t="s">
        <v>146</v>
      </c>
      <c r="C76" s="131" t="s">
        <v>995</v>
      </c>
      <c r="D76" s="79" t="s">
        <v>147</v>
      </c>
      <c r="E76" s="79" t="s">
        <v>147</v>
      </c>
      <c r="F76" s="77"/>
      <c r="G76" s="73" t="s">
        <v>66</v>
      </c>
      <c r="H76" s="74" t="s">
        <v>146</v>
      </c>
      <c r="I76" s="185" t="str">
        <f ca="1">IFERROR(__xludf.DUMMYFUNCTION("IF(D76=E76,C76,GOOGLEFINANCE(CONCATENATE(D76,E76))*C76)"),"13,000.00")</f>
        <v>13,000.00</v>
      </c>
      <c r="J76" s="79" t="s">
        <v>147</v>
      </c>
      <c r="K76" s="78">
        <f ca="1">IFERROR(__xludf.DUMMYFUNCTION("VALUE(IF(D76=""USD"",C76,IF(D76=""EUR"",C76/GOOGLEFINANCE(CONCATENATE(L76,N76)),IF(D76=E76,C76/GOOGLEFINANCE(CONCATENATE(L76,J76))))))"),29.51191827)</f>
        <v>29.511918269999999</v>
      </c>
      <c r="L76" s="186" t="s">
        <v>86</v>
      </c>
      <c r="M76" s="78">
        <f ca="1">IFERROR(__xludf.DUMMYFUNCTION("VALUE(IF(D76=""EUR"",C76,IF(D76=""USD"",GOOGLEFINANCE(CONCATENATE(L76,N76))*C76,IF(D76=E76,C76/GOOGLEFINANCE(CONCATENATE(N76,J76))))))"),29.99361574)</f>
        <v>29.993615739999999</v>
      </c>
      <c r="N76" s="186" t="s">
        <v>85</v>
      </c>
    </row>
    <row r="77" spans="1:14" ht="13" x14ac:dyDescent="0.15">
      <c r="A77" s="73" t="s">
        <v>56</v>
      </c>
      <c r="B77" s="74" t="s">
        <v>148</v>
      </c>
      <c r="C77" s="131" t="s">
        <v>996</v>
      </c>
      <c r="D77" s="79" t="s">
        <v>149</v>
      </c>
      <c r="E77" s="79" t="s">
        <v>149</v>
      </c>
      <c r="F77" s="77"/>
      <c r="G77" s="73" t="s">
        <v>56</v>
      </c>
      <c r="H77" s="74" t="s">
        <v>148</v>
      </c>
      <c r="I77" s="185" t="str">
        <f ca="1">IFERROR(__xludf.DUMMYFUNCTION("IF(D77=E77,C77,GOOGLEFINANCE(CONCATENATE(D77,E77))*C77)"),"1,152.56")</f>
        <v>1,152.56</v>
      </c>
      <c r="J77" s="79" t="s">
        <v>149</v>
      </c>
      <c r="K77" s="78">
        <f ca="1">IFERROR(__xludf.DUMMYFUNCTION("VALUE(IF(D77=""USD"",C77,IF(D77=""EUR"",C77/GOOGLEFINANCE(CONCATENATE(L77,N77)),IF(D77=E77,C77/GOOGLEFINANCE(CONCATENATE(L77,J77))))))"),18.4161733)</f>
        <v>18.416173300000001</v>
      </c>
      <c r="L77" s="186" t="s">
        <v>86</v>
      </c>
      <c r="M77" s="78">
        <f ca="1">IFERROR(__xludf.DUMMYFUNCTION("VALUE(IF(D77=""EUR"",C77,IF(D77=""USD"",GOOGLEFINANCE(CONCATENATE(L77,N77))*C77,IF(D77=E77,C77/GOOGLEFINANCE(CONCATENATE(N77,J77))))))"),18.71676454)</f>
        <v>18.71676454</v>
      </c>
      <c r="N77" s="186" t="s">
        <v>85</v>
      </c>
    </row>
    <row r="78" spans="1:14" ht="13" x14ac:dyDescent="0.15">
      <c r="A78" s="73" t="s">
        <v>35</v>
      </c>
      <c r="B78" s="74" t="s">
        <v>150</v>
      </c>
      <c r="C78" s="131" t="s">
        <v>997</v>
      </c>
      <c r="D78" s="79" t="s">
        <v>151</v>
      </c>
      <c r="E78" s="79" t="s">
        <v>151</v>
      </c>
      <c r="F78" s="77"/>
      <c r="G78" s="73" t="s">
        <v>35</v>
      </c>
      <c r="H78" s="74" t="s">
        <v>150</v>
      </c>
      <c r="I78" s="185" t="str">
        <f ca="1">IFERROR(__xludf.DUMMYFUNCTION("IF(D78=E78,C78,GOOGLEFINANCE(CONCATENATE(D78,E78))*C78)"),"413.63")</f>
        <v>413.63</v>
      </c>
      <c r="J78" s="79" t="s">
        <v>151</v>
      </c>
      <c r="K78" s="78">
        <f ca="1">IFERROR(__xludf.DUMMYFUNCTION("VALUE(IF(D78=""USD"",C78,IF(D78=""EUR"",C78/GOOGLEFINANCE(CONCATENATE(L78,N78)),IF(D78=E78,C78/GOOGLEFINANCE(CONCATENATE(L78,J78))))))"),39.09139881)</f>
        <v>39.091398810000001</v>
      </c>
      <c r="L78" s="186" t="s">
        <v>86</v>
      </c>
      <c r="M78" s="78">
        <f ca="1">IFERROR(__xludf.DUMMYFUNCTION("VALUE(IF(D78=""EUR"",C78,IF(D78=""USD"",GOOGLEFINANCE(CONCATENATE(L78,N78))*C78,IF(D78=E78,C78/GOOGLEFINANCE(CONCATENATE(N78,J78))))))"),39.71712245)</f>
        <v>39.717122449999998</v>
      </c>
      <c r="N78" s="186" t="s">
        <v>85</v>
      </c>
    </row>
    <row r="79" spans="1:14" ht="13" x14ac:dyDescent="0.15">
      <c r="A79" s="73" t="s">
        <v>680</v>
      </c>
      <c r="B79" s="74" t="s">
        <v>410</v>
      </c>
      <c r="C79" s="131" t="s">
        <v>998</v>
      </c>
      <c r="D79" s="79" t="s">
        <v>411</v>
      </c>
      <c r="E79" s="79" t="s">
        <v>411</v>
      </c>
      <c r="F79" s="77"/>
      <c r="G79" s="73" t="s">
        <v>680</v>
      </c>
      <c r="H79" s="74" t="s">
        <v>410</v>
      </c>
      <c r="I79" s="185" t="str">
        <f ca="1">IFERROR(__xludf.DUMMYFUNCTION("IF(D79=E79,C79,GOOGLEFINANCE(CONCATENATE(D79,E79))*C79)"),"22.89")</f>
        <v>22.89</v>
      </c>
      <c r="J79" s="79" t="s">
        <v>411</v>
      </c>
      <c r="K79" s="78">
        <f ca="1">IFERROR(__xludf.DUMMYFUNCTION("VALUE(IF(D79=""USD"",C79,IF(D79=""EUR"",C79/GOOGLEFINANCE(CONCATENATE(L79,N79)),IF(D79=E79,C79/GOOGLEFINANCE(CONCATENATE(L79,J79))))))"),59.53912194)</f>
        <v>59.539121940000001</v>
      </c>
      <c r="L79" s="186" t="s">
        <v>86</v>
      </c>
      <c r="M79" s="78">
        <f ca="1">IFERROR(__xludf.DUMMYFUNCTION("VALUE(IF(D79=""EUR"",C79,IF(D79=""USD"",GOOGLEFINANCE(CONCATENATE(L79,N79))*C79,IF(D79=E79,C79/GOOGLEFINANCE(CONCATENATE(N79,J79))))))"),60.51092743)</f>
        <v>60.510927430000002</v>
      </c>
      <c r="N79" s="186" t="s">
        <v>85</v>
      </c>
    </row>
    <row r="80" spans="1:14" ht="13" x14ac:dyDescent="0.15">
      <c r="A80" s="73" t="s">
        <v>74</v>
      </c>
      <c r="B80" s="74" t="s">
        <v>152</v>
      </c>
      <c r="C80" s="131" t="s">
        <v>999</v>
      </c>
      <c r="D80" s="79" t="s">
        <v>153</v>
      </c>
      <c r="E80" s="79" t="s">
        <v>153</v>
      </c>
      <c r="F80" s="77"/>
      <c r="G80" s="73" t="s">
        <v>74</v>
      </c>
      <c r="H80" s="74" t="s">
        <v>152</v>
      </c>
      <c r="I80" s="185" t="str">
        <f ca="1">IFERROR(__xludf.DUMMYFUNCTION("IF(D80=E80,C80,GOOGLEFINANCE(CONCATENATE(D80,E80))*C80)"),"3,178.68")</f>
        <v>3,178.68</v>
      </c>
      <c r="J80" s="79" t="s">
        <v>153</v>
      </c>
      <c r="K80" s="78">
        <f ca="1">IFERROR(__xludf.DUMMYFUNCTION("VALUE(IF(D80=""USD"",C80,IF(D80=""EUR"",C80/GOOGLEFINANCE(CONCATENATE(L80,N80)),IF(D80=E80,C80/GOOGLEFINANCE(CONCATENATE(L80,J80))))))"),14.53221136)</f>
        <v>14.53221136</v>
      </c>
      <c r="L80" s="186" t="s">
        <v>86</v>
      </c>
      <c r="M80" s="78">
        <f ca="1">IFERROR(__xludf.DUMMYFUNCTION("VALUE(IF(D80=""EUR"",C80,IF(D80=""USD"",GOOGLEFINANCE(CONCATENATE(L80,N80))*C80,IF(D80=E80,C80/GOOGLEFINANCE(CONCATENATE(N80,J80))))))"),14.76940806)</f>
        <v>14.76940806</v>
      </c>
      <c r="N80" s="186" t="s">
        <v>85</v>
      </c>
    </row>
    <row r="81" spans="1:14" ht="13" x14ac:dyDescent="0.15">
      <c r="A81" s="73" t="s">
        <v>684</v>
      </c>
      <c r="B81" s="74" t="s">
        <v>413</v>
      </c>
      <c r="C81" s="131" t="s">
        <v>1000</v>
      </c>
      <c r="D81" s="97" t="s">
        <v>86</v>
      </c>
      <c r="E81" s="85" t="s">
        <v>414</v>
      </c>
      <c r="F81" s="77"/>
      <c r="G81" s="73" t="s">
        <v>684</v>
      </c>
      <c r="H81" s="74" t="s">
        <v>413</v>
      </c>
      <c r="I81" s="185">
        <f ca="1">IFERROR(__xludf.DUMMYFUNCTION("IF(D81=E81,C81,GOOGLEFINANCE(CONCATENATE(D81,E81))*C81)"),36.253597989)</f>
        <v>36.253597988999999</v>
      </c>
      <c r="J81" s="85" t="s">
        <v>414</v>
      </c>
      <c r="K81" s="78">
        <f ca="1">IFERROR(__xludf.DUMMYFUNCTION("VALUE(IF(D81=""USD"",C81,IF(D81=""EUR"",C81/GOOGLEFINANCE(CONCATENATE(L81,N81)),IF(D81=E81,C81/GOOGLEFINANCE(CONCATENATE(L81,J81))))))"),36.61)</f>
        <v>36.61</v>
      </c>
      <c r="L81" s="186" t="s">
        <v>86</v>
      </c>
      <c r="M81" s="78">
        <f ca="1">IFERROR(__xludf.DUMMYFUNCTION("VALUE(IF(D81=""EUR"",C81,IF(D81=""USD"",GOOGLEFINANCE(CONCATENATE(L81,N81))*C81,IF(D81=E81,C81/GOOGLEFINANCE(CONCATENATE(N81,J81))))))"),37.20948875)</f>
        <v>37.209488749999998</v>
      </c>
      <c r="N81" s="186" t="s">
        <v>85</v>
      </c>
    </row>
    <row r="82" spans="1:14" ht="13" x14ac:dyDescent="0.15">
      <c r="A82" s="73" t="s">
        <v>702</v>
      </c>
      <c r="B82" s="74" t="s">
        <v>703</v>
      </c>
      <c r="C82" s="131" t="s">
        <v>1001</v>
      </c>
      <c r="D82" s="79" t="s">
        <v>427</v>
      </c>
      <c r="E82" s="79" t="s">
        <v>427</v>
      </c>
      <c r="F82" s="77"/>
      <c r="G82" s="73" t="s">
        <v>702</v>
      </c>
      <c r="H82" s="74" t="s">
        <v>703</v>
      </c>
      <c r="I82" s="185" t="str">
        <f ca="1">IFERROR(__xludf.DUMMYFUNCTION("IF(D82=E82,C82,GOOGLEFINANCE(CONCATENATE(D82,E82))*C82)"),"173,316.78")</f>
        <v>173,316.78</v>
      </c>
      <c r="J82" s="79" t="s">
        <v>427</v>
      </c>
      <c r="K82" s="78">
        <f ca="1">IFERROR(__xludf.DUMMYFUNCTION("VALUE(IF(D82=""USD"",C82,IF(D82=""EUR"",C82/GOOGLEFINANCE(CONCATENATE(L82,N82)),IF(D82=E82,C82/GOOGLEFINANCE(CONCATENATE(L82,J82))))))"),24.218959)</f>
        <v>24.218959000000002</v>
      </c>
      <c r="L82" s="186" t="s">
        <v>86</v>
      </c>
      <c r="M82" s="78">
        <f ca="1">IFERROR(__xludf.DUMMYFUNCTION("VALUE(IF(D82=""EUR"",C82,IF(D82=""USD"",GOOGLEFINANCE(CONCATENATE(L82,N82))*C82,IF(D82=E82,C82/GOOGLEFINANCE(CONCATENATE(N82,J82))))))"),24.61426408)</f>
        <v>24.614264080000002</v>
      </c>
      <c r="N82" s="186" t="s">
        <v>85</v>
      </c>
    </row>
    <row r="83" spans="1:14" ht="13" x14ac:dyDescent="0.15">
      <c r="A83" s="73" t="s">
        <v>63</v>
      </c>
      <c r="B83" s="74" t="s">
        <v>154</v>
      </c>
      <c r="C83" s="131" t="s">
        <v>1002</v>
      </c>
      <c r="D83" s="79" t="s">
        <v>155</v>
      </c>
      <c r="E83" s="79" t="s">
        <v>155</v>
      </c>
      <c r="F83" s="77"/>
      <c r="G83" s="73" t="s">
        <v>63</v>
      </c>
      <c r="H83" s="74" t="s">
        <v>154</v>
      </c>
      <c r="I83" s="185" t="str">
        <f ca="1">IFERROR(__xludf.DUMMYFUNCTION("IF(D83=E83,C83,GOOGLEFINANCE(CONCATENATE(D83,E83))*C83)"),"125.35")</f>
        <v>125.35</v>
      </c>
      <c r="J83" s="79" t="s">
        <v>155</v>
      </c>
      <c r="K83" s="78">
        <f ca="1">IFERROR(__xludf.DUMMYFUNCTION("VALUE(IF(D83=""USD"",C83,IF(D83=""EUR"",C83/GOOGLEFINANCE(CONCATENATE(L83,N83)),IF(D83=E83,C83/GOOGLEFINANCE(CONCATENATE(L83,J83))))))"),31.75223982)</f>
        <v>31.75223982</v>
      </c>
      <c r="L83" s="186" t="s">
        <v>86</v>
      </c>
      <c r="M83" s="78">
        <f ca="1">IFERROR(__xludf.DUMMYFUNCTION("VALUE(IF(D83=""EUR"",C83,IF(D83=""USD"",GOOGLEFINANCE(CONCATENATE(L83,N83))*C83,IF(D83=E83,C83/GOOGLEFINANCE(CONCATENATE(N83,J83))))))"),32.27050412)</f>
        <v>32.270504119999998</v>
      </c>
      <c r="N83" s="186" t="s">
        <v>85</v>
      </c>
    </row>
    <row r="84" spans="1:14" ht="13" x14ac:dyDescent="0.15">
      <c r="A84" s="73" t="s">
        <v>81</v>
      </c>
      <c r="B84" s="74" t="s">
        <v>156</v>
      </c>
      <c r="C84" s="131" t="s">
        <v>1003</v>
      </c>
      <c r="D84" s="79" t="s">
        <v>157</v>
      </c>
      <c r="E84" s="79" t="s">
        <v>157</v>
      </c>
      <c r="F84" s="77"/>
      <c r="G84" s="73" t="s">
        <v>81</v>
      </c>
      <c r="H84" s="74" t="s">
        <v>156</v>
      </c>
      <c r="I84" s="185" t="str">
        <f ca="1">IFERROR(__xludf.DUMMYFUNCTION("IF(D84=E84,C84,GOOGLEFINANCE(CONCATENATE(D84,E84))*C84)"),"1,896.07")</f>
        <v>1,896.07</v>
      </c>
      <c r="J84" s="79" t="s">
        <v>157</v>
      </c>
      <c r="K84" s="78">
        <f ca="1">IFERROR(__xludf.DUMMYFUNCTION("VALUE(IF(D84=""USD"",C84,IF(D84=""EUR"",C84/GOOGLEFINANCE(CONCATENATE(L84,N84)),IF(D84=E84,C84/GOOGLEFINANCE(CONCATENATE(L84,J84))))))"),32.13378414)</f>
        <v>32.133784140000003</v>
      </c>
      <c r="L84" s="186" t="s">
        <v>86</v>
      </c>
      <c r="M84" s="78">
        <f ca="1">IFERROR(__xludf.DUMMYFUNCTION("VALUE(IF(D84=""EUR"",C84,IF(D84=""USD"",GOOGLEFINANCE(CONCATENATE(L84,N84))*C84,IF(D84=E84,C84/GOOGLEFINANCE(CONCATENATE(N84,J84))))))"),32.65827605)</f>
        <v>32.658276049999998</v>
      </c>
      <c r="N84" s="186" t="s">
        <v>85</v>
      </c>
    </row>
    <row r="85" spans="1:14" ht="13" x14ac:dyDescent="0.15">
      <c r="A85" s="73" t="s">
        <v>70</v>
      </c>
      <c r="B85" s="74" t="s">
        <v>158</v>
      </c>
      <c r="C85" s="131" t="s">
        <v>1004</v>
      </c>
      <c r="D85" s="79" t="s">
        <v>159</v>
      </c>
      <c r="E85" s="79" t="s">
        <v>159</v>
      </c>
      <c r="F85" s="77"/>
      <c r="G85" s="73" t="s">
        <v>70</v>
      </c>
      <c r="H85" s="74" t="s">
        <v>158</v>
      </c>
      <c r="I85" s="185" t="str">
        <f ca="1">IFERROR(__xludf.DUMMYFUNCTION("IF(D85=E85,C85,GOOGLEFINANCE(CONCATENATE(D85,E85))*C85)"),"118.84")</f>
        <v>118.84</v>
      </c>
      <c r="J85" s="79" t="s">
        <v>159</v>
      </c>
      <c r="K85" s="78">
        <f ca="1">IFERROR(__xludf.DUMMYFUNCTION("VALUE(IF(D85=""USD"",C85,IF(D85=""EUR"",C85/GOOGLEFINANCE(CONCATENATE(L85,N85)),IF(D85=E85,C85/GOOGLEFINANCE(CONCATENATE(L85,J85))))))"),24.47332111)</f>
        <v>24.473321110000001</v>
      </c>
      <c r="L85" s="186" t="s">
        <v>86</v>
      </c>
      <c r="M85" s="78">
        <f ca="1">IFERROR(__xludf.DUMMYFUNCTION("VALUE(IF(D85=""EUR"",C85,IF(D85=""USD"",GOOGLEFINANCE(CONCATENATE(L85,N85))*C85,IF(D85=E85,C85/GOOGLEFINANCE(CONCATENATE(N85,J85))))))"),24.87415361)</f>
        <v>24.87415361</v>
      </c>
      <c r="N85" s="186" t="s">
        <v>85</v>
      </c>
    </row>
    <row r="86" spans="1:14" ht="13" x14ac:dyDescent="0.15">
      <c r="A86" s="73" t="s">
        <v>45</v>
      </c>
      <c r="B86" s="74" t="s">
        <v>160</v>
      </c>
      <c r="C86" s="131" t="s">
        <v>1005</v>
      </c>
      <c r="D86" s="79" t="s">
        <v>85</v>
      </c>
      <c r="E86" s="79" t="s">
        <v>85</v>
      </c>
      <c r="F86" s="77"/>
      <c r="G86" s="73" t="s">
        <v>45</v>
      </c>
      <c r="H86" s="74" t="s">
        <v>160</v>
      </c>
      <c r="I86" s="185" t="str">
        <f ca="1">IFERROR(__xludf.DUMMYFUNCTION("IF(D86=E86,C86,GOOGLEFINANCE(CONCATENATE(D86,E86))*C86)"),"33.28")</f>
        <v>33.28</v>
      </c>
      <c r="J86" s="79" t="s">
        <v>85</v>
      </c>
      <c r="K86" s="78">
        <f ca="1">IFERROR(__xludf.DUMMYFUNCTION("VALUE(IF(D86=""USD"",C86,IF(D86=""EUR"",C86/GOOGLEFINANCE(CONCATENATE(L86,N86)),IF(D86=E86,C86/GOOGLEFINANCE(CONCATENATE(L86,J86))))))"),32.74381995)</f>
        <v>32.743819950000002</v>
      </c>
      <c r="L86" s="186" t="s">
        <v>86</v>
      </c>
      <c r="M86" s="78">
        <f ca="1">IFERROR(__xludf.DUMMYFUNCTION("VALUE(IF(D86=""EUR"",C86,IF(D86=""USD"",GOOGLEFINANCE(CONCATENATE(L86,N86))*C86,IF(D86=E86,C86/GOOGLEFINANCE(CONCATENATE(N86,J86))))))"),33.28)</f>
        <v>33.28</v>
      </c>
      <c r="N86" s="186" t="s">
        <v>85</v>
      </c>
    </row>
    <row r="87" spans="1:14" ht="13" x14ac:dyDescent="0.15">
      <c r="A87" s="73" t="s">
        <v>697</v>
      </c>
      <c r="B87" s="74" t="s">
        <v>698</v>
      </c>
      <c r="C87" s="131" t="s">
        <v>1006</v>
      </c>
      <c r="D87" s="79" t="s">
        <v>86</v>
      </c>
      <c r="E87" s="79" t="s">
        <v>86</v>
      </c>
      <c r="F87" s="77"/>
      <c r="G87" s="73" t="s">
        <v>697</v>
      </c>
      <c r="H87" s="74" t="s">
        <v>698</v>
      </c>
      <c r="I87" s="185" t="str">
        <f ca="1">IFERROR(__xludf.DUMMYFUNCTION("IF(D87=E87,C87,GOOGLEFINANCE(CONCATENATE(D87,E87))*C87)"),"36.92")</f>
        <v>36.92</v>
      </c>
      <c r="J87" s="79" t="s">
        <v>86</v>
      </c>
      <c r="K87" s="78">
        <f ca="1">IFERROR(__xludf.DUMMYFUNCTION("VALUE(IF(D87=""USD"",C87,IF(D87=""EUR"",C87/GOOGLEFINANCE(CONCATENATE(L87,N87)),IF(D87=E87,C87/GOOGLEFINANCE(CONCATENATE(L87,J87))))))"),36.92)</f>
        <v>36.92</v>
      </c>
      <c r="L87" s="186" t="s">
        <v>86</v>
      </c>
      <c r="M87" s="78">
        <f ca="1">IFERROR(__xludf.DUMMYFUNCTION("VALUE(IF(D87=""EUR"",C87,IF(D87=""USD"",GOOGLEFINANCE(CONCATENATE(L87,N87))*C87,IF(D87=E87,C87/GOOGLEFINANCE(CONCATENATE(N87,J87))))))"),37.524565)</f>
        <v>37.524565000000003</v>
      </c>
      <c r="N87" s="186" t="s">
        <v>85</v>
      </c>
    </row>
    <row r="88" spans="1:14" ht="13" x14ac:dyDescent="0.15">
      <c r="A88" s="73" t="s">
        <v>707</v>
      </c>
      <c r="B88" s="74" t="s">
        <v>708</v>
      </c>
      <c r="C88" s="131" t="s">
        <v>1007</v>
      </c>
      <c r="D88" s="79" t="s">
        <v>430</v>
      </c>
      <c r="E88" s="79" t="s">
        <v>430</v>
      </c>
      <c r="F88" s="77"/>
      <c r="G88" s="73" t="s">
        <v>707</v>
      </c>
      <c r="H88" s="74" t="s">
        <v>708</v>
      </c>
      <c r="I88" s="185" t="str">
        <f ca="1">IFERROR(__xludf.DUMMYFUNCTION("IF(D88=E88,C88,GOOGLEFINANCE(CONCATENATE(D88,E88))*C88)"),"413.06")</f>
        <v>413.06</v>
      </c>
      <c r="J88" s="79" t="s">
        <v>430</v>
      </c>
      <c r="K88" s="78">
        <f ca="1">IFERROR(__xludf.DUMMYFUNCTION("VALUE(IF(D88=""USD"",C88,IF(D88=""EUR"",C88/GOOGLEFINANCE(CONCATENATE(L88,N88)),IF(D88=E88,C88/GOOGLEFINANCE(CONCATENATE(L88,J88))))))"),113.4546453)</f>
        <v>113.4546453</v>
      </c>
      <c r="L88" s="186" t="s">
        <v>86</v>
      </c>
      <c r="M88" s="78">
        <f ca="1">IFERROR(__xludf.DUMMYFUNCTION("VALUE(IF(D88=""EUR"",C88,IF(D88=""USD"",GOOGLEFINANCE(CONCATENATE(L88,N88))*C88,IF(D88=E88,C88/GOOGLEFINANCE(CONCATENATE(N88,J88))))))"),115.3064672)</f>
        <v>115.3064672</v>
      </c>
      <c r="N88" s="186" t="s">
        <v>85</v>
      </c>
    </row>
    <row r="89" spans="1:14" ht="13" x14ac:dyDescent="0.15">
      <c r="A89" s="73" t="s">
        <v>64</v>
      </c>
      <c r="B89" s="74" t="s">
        <v>161</v>
      </c>
      <c r="C89" s="131" t="s">
        <v>1008</v>
      </c>
      <c r="D89" s="79" t="s">
        <v>162</v>
      </c>
      <c r="E89" s="79" t="s">
        <v>162</v>
      </c>
      <c r="F89" s="77"/>
      <c r="G89" s="73" t="s">
        <v>64</v>
      </c>
      <c r="H89" s="74" t="s">
        <v>161</v>
      </c>
      <c r="I89" s="185" t="str">
        <f ca="1">IFERROR(__xludf.DUMMYFUNCTION("IF(D89=E89,C89,GOOGLEFINANCE(CONCATENATE(D89,E89))*C89)"),"175.14")</f>
        <v>175.14</v>
      </c>
      <c r="J89" s="79" t="s">
        <v>162</v>
      </c>
      <c r="K89" s="78">
        <f ca="1">IFERROR(__xludf.DUMMYFUNCTION("VALUE(IF(D89=""USD"",C89,IF(D89=""EUR"",C89/GOOGLEFINANCE(CONCATENATE(L89,N89)),IF(D89=E89,C89/GOOGLEFINANCE(CONCATENATE(L89,J89))))))"),35.07187492)</f>
        <v>35.071874919999999</v>
      </c>
      <c r="L89" s="186" t="s">
        <v>86</v>
      </c>
      <c r="M89" s="78">
        <f ca="1">IFERROR(__xludf.DUMMYFUNCTION("VALUE(IF(D89=""EUR"",C89,IF(D89=""USD"",GOOGLEFINANCE(CONCATENATE(L89,N89))*C89,IF(D89=E89,C89/GOOGLEFINANCE(CONCATENATE(N89,J89))))))"),35.62320739)</f>
        <v>35.623207389999997</v>
      </c>
      <c r="N89" s="186" t="s">
        <v>85</v>
      </c>
    </row>
    <row r="90" spans="1:14" ht="13" x14ac:dyDescent="0.15">
      <c r="A90" s="73" t="s">
        <v>709</v>
      </c>
      <c r="B90" s="74" t="s">
        <v>710</v>
      </c>
      <c r="C90" s="131" t="s">
        <v>1009</v>
      </c>
      <c r="D90" s="79" t="s">
        <v>436</v>
      </c>
      <c r="E90" s="79" t="s">
        <v>436</v>
      </c>
      <c r="F90" s="77"/>
      <c r="G90" s="73" t="s">
        <v>709</v>
      </c>
      <c r="H90" s="74" t="s">
        <v>710</v>
      </c>
      <c r="I90" s="185" t="str">
        <f ca="1">IFERROR(__xludf.DUMMYFUNCTION("IF(D90=E90,C90,GOOGLEFINANCE(CONCATENATE(D90,E90))*C90)"),"2,471.69")</f>
        <v>2,471.69</v>
      </c>
      <c r="J90" s="79" t="s">
        <v>436</v>
      </c>
      <c r="K90" s="78">
        <f ca="1">IFERROR(__xludf.DUMMYFUNCTION("VALUE(IF(D90=""USD"",C90,IF(D90=""EUR"",C90/GOOGLEFINANCE(CONCATENATE(L90,N90)),IF(D90=E90,C90/GOOGLEFINANCE(CONCATENATE(L90,J90))))))"),40.18648739)</f>
        <v>40.186487390000003</v>
      </c>
      <c r="L90" s="186" t="s">
        <v>86</v>
      </c>
      <c r="M90" s="78">
        <f ca="1">IFERROR(__xludf.DUMMYFUNCTION("VALUE(IF(D90=""EUR"",C90,IF(D90=""USD"",GOOGLEFINANCE(CONCATENATE(L90,N90))*C90,IF(D90=E90,C90/GOOGLEFINANCE(CONCATENATE(N90,J90))))))"),40.88817204)</f>
        <v>40.888172040000001</v>
      </c>
      <c r="N90" s="186" t="s">
        <v>85</v>
      </c>
    </row>
    <row r="91" spans="1:14" ht="13" x14ac:dyDescent="0.15">
      <c r="A91" s="73" t="s">
        <v>712</v>
      </c>
      <c r="B91" s="74" t="s">
        <v>438</v>
      </c>
      <c r="C91" s="131" t="s">
        <v>1010</v>
      </c>
      <c r="D91" s="79" t="s">
        <v>439</v>
      </c>
      <c r="E91" s="79" t="s">
        <v>439</v>
      </c>
      <c r="F91" s="77"/>
      <c r="G91" s="73" t="s">
        <v>712</v>
      </c>
      <c r="H91" s="74" t="s">
        <v>438</v>
      </c>
      <c r="I91" s="185" t="str">
        <f ca="1">IFERROR(__xludf.DUMMYFUNCTION("IF(D91=E91,C91,GOOGLEFINANCE(CONCATENATE(D91,E91))*C91)"),"37,000.00")</f>
        <v>37,000.00</v>
      </c>
      <c r="J91" s="79" t="s">
        <v>439</v>
      </c>
      <c r="K91" s="78">
        <f ca="1">IFERROR(__xludf.DUMMYFUNCTION("VALUE(IF(D91=""USD"",C91,IF(D91=""EUR"",C91/GOOGLEFINANCE(CONCATENATE(L91,N91)),IF(D91=E91,C91/GOOGLEFINANCE(CONCATENATE(L91,J91))))))"),35.03469382)</f>
        <v>35.034693820000001</v>
      </c>
      <c r="L91" s="186" t="s">
        <v>86</v>
      </c>
      <c r="M91" s="78">
        <f ca="1">IFERROR(__xludf.DUMMYFUNCTION("VALUE(IF(D91=""EUR"",C91,IF(D91=""USD"",GOOGLEFINANCE(CONCATENATE(L91,N91))*C91,IF(D91=E91,C91/GOOGLEFINANCE(CONCATENATE(N91,J91))))))"),35.60653477)</f>
        <v>35.606534770000003</v>
      </c>
      <c r="N91" s="186" t="s">
        <v>85</v>
      </c>
    </row>
    <row r="92" spans="1:14" ht="13" x14ac:dyDescent="0.15">
      <c r="A92" s="73" t="s">
        <v>59</v>
      </c>
      <c r="B92" s="74" t="s">
        <v>163</v>
      </c>
      <c r="C92" s="131" t="s">
        <v>1011</v>
      </c>
      <c r="D92" s="79" t="s">
        <v>164</v>
      </c>
      <c r="E92" s="79" t="s">
        <v>164</v>
      </c>
      <c r="F92" s="77"/>
      <c r="G92" s="73" t="s">
        <v>59</v>
      </c>
      <c r="H92" s="74" t="s">
        <v>163</v>
      </c>
      <c r="I92" s="185" t="str">
        <f ca="1">IFERROR(__xludf.DUMMYFUNCTION("IF(D92=E92,C92,GOOGLEFINANCE(CONCATENATE(D92,E92))*C92)"),"355.84")</f>
        <v>355.84</v>
      </c>
      <c r="J92" s="79" t="s">
        <v>164</v>
      </c>
      <c r="K92" s="78">
        <f ca="1">IFERROR(__xludf.DUMMYFUNCTION("VALUE(IF(D92=""USD"",C92,IF(D92=""EUR"",C92/GOOGLEFINANCE(CONCATENATE(L92,N92)),IF(D92=E92,C92/GOOGLEFINANCE(CONCATENATE(L92,J92))))))"),94.66997203)</f>
        <v>94.669972029999997</v>
      </c>
      <c r="L92" s="186" t="s">
        <v>86</v>
      </c>
      <c r="M92" s="78">
        <f ca="1">IFERROR(__xludf.DUMMYFUNCTION("VALUE(IF(D92=""EUR"",C92,IF(D92=""USD"",GOOGLEFINANCE(CONCATENATE(L92,N92))*C92,IF(D92=E92,C92/GOOGLEFINANCE(CONCATENATE(N92,J92))))))"),96.21518796)</f>
        <v>96.215187959999994</v>
      </c>
      <c r="N92" s="186" t="s">
        <v>85</v>
      </c>
    </row>
    <row r="93" spans="1:14" ht="13" x14ac:dyDescent="0.15">
      <c r="A93" s="73" t="s">
        <v>50</v>
      </c>
      <c r="B93" s="74" t="s">
        <v>165</v>
      </c>
      <c r="C93" s="131" t="s">
        <v>1012</v>
      </c>
      <c r="D93" s="79" t="s">
        <v>166</v>
      </c>
      <c r="E93" s="79" t="s">
        <v>166</v>
      </c>
      <c r="F93" s="77"/>
      <c r="G93" s="73" t="s">
        <v>50</v>
      </c>
      <c r="H93" s="74" t="s">
        <v>165</v>
      </c>
      <c r="I93" s="185" t="str">
        <f ca="1">IFERROR(__xludf.DUMMYFUNCTION("IF(D93=E93,C93,GOOGLEFINANCE(CONCATENATE(D93,E93))*C93)"),"2,901.92")</f>
        <v>2,901.92</v>
      </c>
      <c r="J93" s="79" t="s">
        <v>166</v>
      </c>
      <c r="K93" s="78">
        <f ca="1">IFERROR(__xludf.DUMMYFUNCTION("VALUE(IF(D93=""USD"",C93,IF(D93=""EUR"",C93/GOOGLEFINANCE(CONCATENATE(L93,N93)),IF(D93=E93,C93/GOOGLEFINANCE(CONCATENATE(L93,J93))))))"),24.34598767)</f>
        <v>24.34598767</v>
      </c>
      <c r="L93" s="186" t="s">
        <v>86</v>
      </c>
      <c r="M93" s="78">
        <f ca="1">IFERROR(__xludf.DUMMYFUNCTION("VALUE(IF(D93=""EUR"",C93,IF(D93=""USD"",GOOGLEFINANCE(CONCATENATE(L93,N93))*C93,IF(D93=E93,C93/GOOGLEFINANCE(CONCATENATE(N93,J93))))))"),24.74436372)</f>
        <v>24.744363719999999</v>
      </c>
      <c r="N93" s="186" t="s">
        <v>85</v>
      </c>
    </row>
    <row r="94" spans="1:14" ht="13" x14ac:dyDescent="0.15">
      <c r="A94" s="73" t="s">
        <v>61</v>
      </c>
      <c r="B94" s="74" t="s">
        <v>167</v>
      </c>
      <c r="C94" s="131" t="s">
        <v>1013</v>
      </c>
      <c r="D94" s="79" t="s">
        <v>168</v>
      </c>
      <c r="E94" s="79" t="s">
        <v>168</v>
      </c>
      <c r="F94" s="77"/>
      <c r="G94" s="73" t="s">
        <v>61</v>
      </c>
      <c r="H94" s="74" t="s">
        <v>167</v>
      </c>
      <c r="I94" s="185" t="str">
        <f ca="1">IFERROR(__xludf.DUMMYFUNCTION("IF(D94=E94,C94,GOOGLEFINANCE(CONCATENATE(D94,E94))*C94)"),"116.50")</f>
        <v>116.50</v>
      </c>
      <c r="J94" s="79" t="s">
        <v>168</v>
      </c>
      <c r="K94" s="78">
        <f ca="1">IFERROR(__xludf.DUMMYFUNCTION("VALUE(IF(D94=""USD"",C94,IF(D94=""EUR"",C94/GOOGLEFINANCE(CONCATENATE(L94,N94)),IF(D94=E94,C94/GOOGLEFINANCE(CONCATENATE(L94,J94))))))"),82.00183008)</f>
        <v>82.001830080000005</v>
      </c>
      <c r="L94" s="186" t="s">
        <v>86</v>
      </c>
      <c r="M94" s="78">
        <f ca="1">IFERROR(__xludf.DUMMYFUNCTION("VALUE(IF(D94=""EUR"",C94,IF(D94=""USD"",GOOGLEFINANCE(CONCATENATE(L94,N94))*C94,IF(D94=E94,C94/GOOGLEFINANCE(CONCATENATE(N94,J94))))))"),83.3449587)</f>
        <v>83.344958700000007</v>
      </c>
      <c r="N94" s="186" t="s">
        <v>85</v>
      </c>
    </row>
    <row r="95" spans="1:14" ht="13" x14ac:dyDescent="0.15">
      <c r="A95" s="73" t="s">
        <v>47</v>
      </c>
      <c r="B95" s="74" t="s">
        <v>169</v>
      </c>
      <c r="C95" s="131" t="s">
        <v>1014</v>
      </c>
      <c r="D95" s="79" t="s">
        <v>85</v>
      </c>
      <c r="E95" s="79" t="s">
        <v>85</v>
      </c>
      <c r="F95" s="77"/>
      <c r="G95" s="73" t="s">
        <v>47</v>
      </c>
      <c r="H95" s="74" t="s">
        <v>169</v>
      </c>
      <c r="I95" s="185" t="str">
        <f ca="1">IFERROR(__xludf.DUMMYFUNCTION("IF(D95=E95,C95,GOOGLEFINANCE(CONCATENATE(D95,E95))*C95)"),"30.21")</f>
        <v>30.21</v>
      </c>
      <c r="J95" s="79" t="s">
        <v>85</v>
      </c>
      <c r="K95" s="78">
        <f ca="1">IFERROR(__xludf.DUMMYFUNCTION("VALUE(IF(D95=""USD"",C95,IF(D95=""EUR"",C95/GOOGLEFINANCE(CONCATENATE(L95,N95)),IF(D95=E95,C95/GOOGLEFINANCE(CONCATENATE(L95,J95))))))"),29.72328127)</f>
        <v>29.723281270000001</v>
      </c>
      <c r="L95" s="186" t="s">
        <v>86</v>
      </c>
      <c r="M95" s="78">
        <f ca="1">IFERROR(__xludf.DUMMYFUNCTION("VALUE(IF(D95=""EUR"",C95,IF(D95=""USD"",GOOGLEFINANCE(CONCATENATE(L95,N95))*C95,IF(D95=E95,C95/GOOGLEFINANCE(CONCATENATE(N95,J95))))))"),30.21)</f>
        <v>30.21</v>
      </c>
      <c r="N95" s="186" t="s">
        <v>85</v>
      </c>
    </row>
    <row r="96" spans="1:14" ht="13" x14ac:dyDescent="0.15">
      <c r="A96" s="73" t="s">
        <v>721</v>
      </c>
      <c r="B96" s="74" t="s">
        <v>722</v>
      </c>
      <c r="C96" s="131" t="s">
        <v>1015</v>
      </c>
      <c r="D96" s="79" t="s">
        <v>85</v>
      </c>
      <c r="E96" s="79" t="s">
        <v>85</v>
      </c>
      <c r="F96" s="77"/>
      <c r="G96" s="73" t="s">
        <v>721</v>
      </c>
      <c r="H96" s="74" t="s">
        <v>722</v>
      </c>
      <c r="I96" s="185" t="str">
        <f ca="1">IFERROR(__xludf.DUMMYFUNCTION("IF(D96=E96,C96,GOOGLEFINANCE(CONCATENATE(D96,E96))*C96)"),"39.69")</f>
        <v>39.69</v>
      </c>
      <c r="J96" s="79" t="s">
        <v>85</v>
      </c>
      <c r="K96" s="78">
        <f ca="1">IFERROR(__xludf.DUMMYFUNCTION("VALUE(IF(D96=""USD"",C96,IF(D96=""EUR"",C96/GOOGLEFINANCE(CONCATENATE(L96,N96)),IF(D96=E96,C96/GOOGLEFINANCE(CONCATENATE(L96,J96))))))"),39.05054729)</f>
        <v>39.050547289999997</v>
      </c>
      <c r="L96" s="186" t="s">
        <v>86</v>
      </c>
      <c r="M96" s="78">
        <f ca="1">IFERROR(__xludf.DUMMYFUNCTION("VALUE(IF(D96=""EUR"",C96,IF(D96=""USD"",GOOGLEFINANCE(CONCATENATE(L96,N96))*C96,IF(D96=E96,C96/GOOGLEFINANCE(CONCATENATE(N96,J96))))))"),39.69)</f>
        <v>39.69</v>
      </c>
      <c r="N96" s="186" t="s">
        <v>85</v>
      </c>
    </row>
    <row r="97" spans="1:14" ht="13" x14ac:dyDescent="0.15">
      <c r="A97" s="73" t="s">
        <v>75</v>
      </c>
      <c r="B97" s="74" t="s">
        <v>170</v>
      </c>
      <c r="C97" s="131" t="s">
        <v>1016</v>
      </c>
      <c r="D97" s="79" t="s">
        <v>171</v>
      </c>
      <c r="E97" s="79" t="s">
        <v>171</v>
      </c>
      <c r="F97" s="77"/>
      <c r="G97" s="73" t="s">
        <v>75</v>
      </c>
      <c r="H97" s="74" t="s">
        <v>170</v>
      </c>
      <c r="I97" s="185" t="str">
        <f ca="1">IFERROR(__xludf.DUMMYFUNCTION("IF(D97=E97,C97,GOOGLEFINANCE(CONCATENATE(D97,E97))*C97)"),"566.63")</f>
        <v>566.63</v>
      </c>
      <c r="J97" s="79" t="s">
        <v>171</v>
      </c>
      <c r="K97" s="78">
        <f ca="1">IFERROR(__xludf.DUMMYFUNCTION("VALUE(IF(D97=""USD"",C97,IF(D97=""EUR"",C97/GOOGLEFINANCE(CONCATENATE(L97,N97)),IF(D97=E97,C97/GOOGLEFINANCE(CONCATENATE(L97,J97))))))"),31.07179969)</f>
        <v>31.071799689999999</v>
      </c>
      <c r="L97" s="186" t="s">
        <v>86</v>
      </c>
      <c r="M97" s="78">
        <f ca="1">IFERROR(__xludf.DUMMYFUNCTION("VALUE(IF(D97=""EUR"",C97,IF(D97=""USD"",GOOGLEFINANCE(CONCATENATE(L97,N97))*C97,IF(D97=E97,C97/GOOGLEFINANCE(CONCATENATE(N97,J97))))))"),31.58097729)</f>
        <v>31.58097729</v>
      </c>
      <c r="N97" s="186" t="s">
        <v>85</v>
      </c>
    </row>
    <row r="98" spans="1:14" ht="13" x14ac:dyDescent="0.15">
      <c r="A98" s="73" t="s">
        <v>60</v>
      </c>
      <c r="B98" s="74" t="s">
        <v>172</v>
      </c>
      <c r="C98" s="131" t="s">
        <v>1017</v>
      </c>
      <c r="D98" s="79" t="s">
        <v>173</v>
      </c>
      <c r="E98" s="79" t="s">
        <v>173</v>
      </c>
      <c r="F98" s="77"/>
      <c r="G98" s="73" t="s">
        <v>60</v>
      </c>
      <c r="H98" s="74" t="s">
        <v>172</v>
      </c>
      <c r="I98" s="185" t="str">
        <f ca="1">IFERROR(__xludf.DUMMYFUNCTION("IF(D98=E98,C98,GOOGLEFINANCE(CONCATENATE(D98,E98))*C98)"),"60,187.66")</f>
        <v>60,187.66</v>
      </c>
      <c r="J98" s="79" t="s">
        <v>173</v>
      </c>
      <c r="K98" s="78">
        <f ca="1">IFERROR(__xludf.DUMMYFUNCTION("VALUE(IF(D98=""USD"",C98,IF(D98=""EUR"",C98/GOOGLEFINANCE(CONCATENATE(L98,N98)),IF(D98=E98,C98/GOOGLEFINANCE(CONCATENATE(L98,J98))))))"),41.71225809)</f>
        <v>41.712258089999999</v>
      </c>
      <c r="L98" s="186" t="s">
        <v>86</v>
      </c>
      <c r="M98" s="78">
        <f ca="1">IFERROR(__xludf.DUMMYFUNCTION("VALUE(IF(D98=""EUR"",C98,IF(D98=""USD"",GOOGLEFINANCE(CONCATENATE(L98,N98))*C98,IF(D98=E98,C98/GOOGLEFINANCE(CONCATENATE(N98,J98))))))"),42.39015389)</f>
        <v>42.390153890000001</v>
      </c>
      <c r="N98" s="186" t="s">
        <v>85</v>
      </c>
    </row>
    <row r="99" spans="1:14" ht="13" x14ac:dyDescent="0.15">
      <c r="A99" s="73" t="s">
        <v>33</v>
      </c>
      <c r="B99" s="74" t="s">
        <v>174</v>
      </c>
      <c r="C99" s="131" t="s">
        <v>1018</v>
      </c>
      <c r="D99" s="79" t="s">
        <v>85</v>
      </c>
      <c r="E99" s="79" t="s">
        <v>85</v>
      </c>
      <c r="F99" s="77"/>
      <c r="G99" s="73" t="s">
        <v>33</v>
      </c>
      <c r="H99" s="74" t="s">
        <v>174</v>
      </c>
      <c r="I99" s="185" t="str">
        <f ca="1">IFERROR(__xludf.DUMMYFUNCTION("IF(D99=E99,C99,GOOGLEFINANCE(CONCATENATE(D99,E99))*C99)"),"37.43")</f>
        <v>37.43</v>
      </c>
      <c r="J99" s="79" t="s">
        <v>85</v>
      </c>
      <c r="K99" s="78">
        <f ca="1">IFERROR(__xludf.DUMMYFUNCTION("VALUE(IF(D99=""USD"",C99,IF(D99=""EUR"",C99/GOOGLEFINANCE(CONCATENATE(L99,N99)),IF(D99=E99,C99/GOOGLEFINANCE(CONCATENATE(L99,J99))))))"),36.82695855)</f>
        <v>36.826958550000001</v>
      </c>
      <c r="L99" s="186" t="s">
        <v>86</v>
      </c>
      <c r="M99" s="78">
        <f ca="1">IFERROR(__xludf.DUMMYFUNCTION("VALUE(IF(D99=""EUR"",C99,IF(D99=""USD"",GOOGLEFINANCE(CONCATENATE(L99,N99))*C99,IF(D99=E99,C99/GOOGLEFINANCE(CONCATENATE(N99,J99))))))"),37.43)</f>
        <v>37.43</v>
      </c>
      <c r="N99" s="186" t="s">
        <v>85</v>
      </c>
    </row>
    <row r="100" spans="1:14" ht="13" x14ac:dyDescent="0.15">
      <c r="A100" s="73" t="s">
        <v>652</v>
      </c>
      <c r="B100" s="74" t="s">
        <v>364</v>
      </c>
      <c r="C100" s="131" t="s">
        <v>1019</v>
      </c>
      <c r="D100" s="79" t="s">
        <v>365</v>
      </c>
      <c r="E100" s="79" t="s">
        <v>365</v>
      </c>
      <c r="F100" s="77"/>
      <c r="G100" s="73" t="s">
        <v>652</v>
      </c>
      <c r="H100" s="74" t="s">
        <v>364</v>
      </c>
      <c r="I100" s="185" t="str">
        <f ca="1">IFERROR(__xludf.DUMMYFUNCTION("IF(D100=E100,C100,GOOGLEFINANCE(CONCATENATE(D100,E100))*C100)"),"3,284.95")</f>
        <v>3,284.95</v>
      </c>
      <c r="J100" s="79" t="s">
        <v>365</v>
      </c>
      <c r="K100" s="78">
        <f ca="1">IFERROR(__xludf.DUMMYFUNCTION("VALUE(IF(D100=""USD"",C100,IF(D100=""EUR"",C100/GOOGLEFINANCE(CONCATENATE(L100,N100)),IF(D100=E100,C100/GOOGLEFINANCE(CONCATENATE(L100,J100))))))"),9.137671619)</f>
        <v>9.1376716190000007</v>
      </c>
      <c r="L100" s="186" t="s">
        <v>86</v>
      </c>
      <c r="M100" s="78">
        <f ca="1">IFERROR(__xludf.DUMMYFUNCTION("VALUE(IF(D100=""EUR"",C100,IF(D100=""USD"",GOOGLEFINANCE(CONCATENATE(L100,N100))*C100,IF(D100=E100,C100/GOOGLEFINANCE(CONCATENATE(N100,J100))))))"),9.286817917)</f>
        <v>9.2868179170000005</v>
      </c>
      <c r="N100" s="186" t="s">
        <v>85</v>
      </c>
    </row>
    <row r="101" spans="1:14" ht="13" x14ac:dyDescent="0.15">
      <c r="A101" s="73" t="s">
        <v>36</v>
      </c>
      <c r="B101" s="74" t="s">
        <v>175</v>
      </c>
      <c r="C101" s="131" t="s">
        <v>1020</v>
      </c>
      <c r="D101" s="79" t="s">
        <v>176</v>
      </c>
      <c r="E101" s="79" t="s">
        <v>176</v>
      </c>
      <c r="F101" s="77"/>
      <c r="G101" s="73" t="s">
        <v>36</v>
      </c>
      <c r="H101" s="74" t="s">
        <v>175</v>
      </c>
      <c r="I101" s="185" t="str">
        <f ca="1">IFERROR(__xludf.DUMMYFUNCTION("IF(D101=E101,C101,GOOGLEFINANCE(CONCATENATE(D101,E101))*C101)"),"355.34")</f>
        <v>355.34</v>
      </c>
      <c r="J101" s="79" t="s">
        <v>176</v>
      </c>
      <c r="K101" s="78">
        <f ca="1">IFERROR(__xludf.DUMMYFUNCTION("VALUE(IF(D101=""USD"",C101,IF(D101=""EUR"",C101/GOOGLEFINANCE(CONCATENATE(L101,N101)),IF(D101=E101,C101/GOOGLEFINANCE(CONCATENATE(L101,J101))))))"),31.59091657)</f>
        <v>31.590916570000001</v>
      </c>
      <c r="L101" s="186" t="s">
        <v>86</v>
      </c>
      <c r="M101" s="78">
        <f ca="1">IFERROR(__xludf.DUMMYFUNCTION("VALUE(IF(D101=""EUR"",C101,IF(D101=""USD"",GOOGLEFINANCE(CONCATENATE(L101,N101))*C101,IF(D101=E101,C101/GOOGLEFINANCE(CONCATENATE(N101,J101))))))"),32.10760484)</f>
        <v>32.10760484</v>
      </c>
      <c r="N101" s="186" t="s">
        <v>85</v>
      </c>
    </row>
    <row r="102" spans="1:14" ht="13" x14ac:dyDescent="0.15">
      <c r="A102" s="73" t="s">
        <v>25</v>
      </c>
      <c r="B102" s="74" t="s">
        <v>177</v>
      </c>
      <c r="C102" s="131" t="s">
        <v>1021</v>
      </c>
      <c r="D102" s="79" t="s">
        <v>178</v>
      </c>
      <c r="E102" s="79" t="s">
        <v>178</v>
      </c>
      <c r="F102" s="77"/>
      <c r="G102" s="73" t="s">
        <v>25</v>
      </c>
      <c r="H102" s="74" t="s">
        <v>177</v>
      </c>
      <c r="I102" s="185" t="str">
        <f ca="1">IFERROR(__xludf.DUMMYFUNCTION("IF(D102=E102,C102,GOOGLEFINANCE(CONCATENATE(D102,E102))*C102)"),"77.41")</f>
        <v>77.41</v>
      </c>
      <c r="J102" s="79" t="s">
        <v>178</v>
      </c>
      <c r="K102" s="78">
        <f ca="1">IFERROR(__xludf.DUMMYFUNCTION("VALUE(IF(D102=""USD"",C102,IF(D102=""EUR"",C102/GOOGLEFINANCE(CONCATENATE(L102,N102)),IF(D102=E102,C102/GOOGLEFINANCE(CONCATENATE(L102,J102))))))"),77.46887635)</f>
        <v>77.468876350000002</v>
      </c>
      <c r="L102" s="186" t="s">
        <v>86</v>
      </c>
      <c r="M102" s="78">
        <f ca="1">IFERROR(__xludf.DUMMYFUNCTION("VALUE(IF(D102=""EUR"",C102,IF(D102=""USD"",GOOGLEFINANCE(CONCATENATE(L102,N102))*C102,IF(D102=E102,C102/GOOGLEFINANCE(CONCATENATE(N102,J102))))))"),78.69749095)</f>
        <v>78.697490950000002</v>
      </c>
      <c r="N102" s="186" t="s">
        <v>85</v>
      </c>
    </row>
    <row r="103" spans="1:14" ht="13" x14ac:dyDescent="0.15">
      <c r="A103" s="73" t="s">
        <v>735</v>
      </c>
      <c r="B103" s="74" t="s">
        <v>736</v>
      </c>
      <c r="C103" s="131" t="s">
        <v>1022</v>
      </c>
      <c r="D103" s="79" t="s">
        <v>470</v>
      </c>
      <c r="E103" s="79" t="s">
        <v>470</v>
      </c>
      <c r="F103" s="77"/>
      <c r="G103" s="73" t="s">
        <v>735</v>
      </c>
      <c r="H103" s="74" t="s">
        <v>736</v>
      </c>
      <c r="I103" s="185" t="str">
        <f ca="1">IFERROR(__xludf.DUMMYFUNCTION("IF(D103=E103,C103,GOOGLEFINANCE(CONCATENATE(D103,E103))*C103)"),"1,168.32")</f>
        <v>1,168.32</v>
      </c>
      <c r="J103" s="79" t="s">
        <v>470</v>
      </c>
      <c r="K103" s="78">
        <f ca="1">IFERROR(__xludf.DUMMYFUNCTION("VALUE(IF(D103=""USD"",C103,IF(D103=""EUR"",C103/GOOGLEFINANCE(CONCATENATE(L103,N103)),IF(D103=E103,C103/GOOGLEFINANCE(CONCATENATE(L103,J103))))))"),36.21597158)</f>
        <v>36.215971580000001</v>
      </c>
      <c r="L103" s="186" t="s">
        <v>86</v>
      </c>
      <c r="M103" s="78">
        <f ca="1">IFERROR(__xludf.DUMMYFUNCTION("VALUE(IF(D103=""EUR"",C103,IF(D103=""USD"",GOOGLEFINANCE(CONCATENATE(L103,N103))*C103,IF(D103=E103,C103/GOOGLEFINANCE(CONCATENATE(N103,J103))))))"),36.8161957)</f>
        <v>36.816195700000002</v>
      </c>
      <c r="N103" s="186" t="s">
        <v>85</v>
      </c>
    </row>
    <row r="104" spans="1:14" ht="13" x14ac:dyDescent="0.15">
      <c r="A104" s="73" t="s">
        <v>728</v>
      </c>
      <c r="B104" s="74" t="s">
        <v>729</v>
      </c>
      <c r="C104" s="131" t="s">
        <v>1023</v>
      </c>
      <c r="D104" s="79" t="s">
        <v>459</v>
      </c>
      <c r="E104" s="79" t="s">
        <v>459</v>
      </c>
      <c r="F104" s="77"/>
      <c r="G104" s="73" t="s">
        <v>728</v>
      </c>
      <c r="H104" s="74" t="s">
        <v>729</v>
      </c>
      <c r="I104" s="185" t="str">
        <f ca="1">IFERROR(__xludf.DUMMYFUNCTION("IF(D104=E104,C104,GOOGLEFINANCE(CONCATENATE(D104,E104))*C104)"),"433.33")</f>
        <v>433.33</v>
      </c>
      <c r="J104" s="79" t="s">
        <v>459</v>
      </c>
      <c r="K104" s="78">
        <f ca="1">IFERROR(__xludf.DUMMYFUNCTION("VALUE(IF(D104=""USD"",C104,IF(D104=""EUR"",C104/GOOGLEFINANCE(CONCATENATE(L104,N104)),IF(D104=E104,C104/GOOGLEFINANCE(CONCATENATE(L104,J104))))))"),43.01217221)</f>
        <v>43.012172210000003</v>
      </c>
      <c r="L104" s="186" t="s">
        <v>86</v>
      </c>
      <c r="M104" s="78">
        <f ca="1">IFERROR(__xludf.DUMMYFUNCTION("VALUE(IF(D104=""EUR"",C104,IF(D104=""USD"",GOOGLEFINANCE(CONCATENATE(L104,N104))*C104,IF(D104=E104,C104/GOOGLEFINANCE(CONCATENATE(N104,J104))))))"),43.71422263)</f>
        <v>43.714222630000002</v>
      </c>
      <c r="N104" s="186" t="s">
        <v>85</v>
      </c>
    </row>
    <row r="105" spans="1:14" ht="13" x14ac:dyDescent="0.15">
      <c r="A105" s="73" t="s">
        <v>740</v>
      </c>
      <c r="B105" s="74" t="s">
        <v>472</v>
      </c>
      <c r="C105" s="131" t="s">
        <v>1024</v>
      </c>
      <c r="D105" s="79" t="s">
        <v>473</v>
      </c>
      <c r="E105" s="79" t="s">
        <v>473</v>
      </c>
      <c r="F105" s="77"/>
      <c r="G105" s="73" t="s">
        <v>740</v>
      </c>
      <c r="H105" s="74" t="s">
        <v>472</v>
      </c>
      <c r="I105" s="185" t="str">
        <f ca="1">IFERROR(__xludf.DUMMYFUNCTION("IF(D105=E105,C105,GOOGLEFINANCE(CONCATENATE(D105,E105))*C105)"),"100,357.14")</f>
        <v>100,357.14</v>
      </c>
      <c r="J105" s="79" t="s">
        <v>473</v>
      </c>
      <c r="K105" s="78">
        <f ca="1">IFERROR(__xludf.DUMMYFUNCTION("VALUE(IF(D105=""USD"",C105,IF(D105=""EUR"",C105/GOOGLEFINANCE(CONCATENATE(L105,N105)),IF(D105=E105,C105/GOOGLEFINANCE(CONCATENATE(L105,J105))))))"),43.03479417)</f>
        <v>43.034794169999998</v>
      </c>
      <c r="L105" s="186" t="s">
        <v>86</v>
      </c>
      <c r="M105" s="78">
        <f ca="1">IFERROR(__xludf.DUMMYFUNCTION("VALUE(IF(D105=""EUR"",C105,IF(D105=""USD"",GOOGLEFINANCE(CONCATENATE(L105,N105))*C105,IF(D105=E105,C105/GOOGLEFINANCE(CONCATENATE(N105,J105))))))"),43.73721382)</f>
        <v>43.737213820000001</v>
      </c>
      <c r="N105" s="186" t="s">
        <v>85</v>
      </c>
    </row>
    <row r="106" spans="1:14" ht="13" x14ac:dyDescent="0.15">
      <c r="A106" s="73" t="s">
        <v>78</v>
      </c>
      <c r="B106" s="74" t="s">
        <v>179</v>
      </c>
      <c r="C106" s="131" t="s">
        <v>1025</v>
      </c>
      <c r="D106" s="79" t="s">
        <v>180</v>
      </c>
      <c r="E106" s="79" t="s">
        <v>180</v>
      </c>
      <c r="F106" s="77"/>
      <c r="G106" s="73" t="s">
        <v>78</v>
      </c>
      <c r="H106" s="74" t="s">
        <v>179</v>
      </c>
      <c r="I106" s="185" t="str">
        <f ca="1">IFERROR(__xludf.DUMMYFUNCTION("IF(D106=E106,C106,GOOGLEFINANCE(CONCATENATE(D106,E106))*C106)"),"1,565.45")</f>
        <v>1,565.45</v>
      </c>
      <c r="J106" s="79" t="s">
        <v>180</v>
      </c>
      <c r="K106" s="78">
        <f ca="1">IFERROR(__xludf.DUMMYFUNCTION("VALUE(IF(D106=""USD"",C106,IF(D106=""EUR"",C106/GOOGLEFINANCE(CONCATENATE(L106,N106)),IF(D106=E106,C106/GOOGLEFINANCE(CONCATENATE(L106,J106))))))"),41.07983993)</f>
        <v>41.079839929999999</v>
      </c>
      <c r="L106" s="186" t="s">
        <v>86</v>
      </c>
      <c r="M106" s="78">
        <f ca="1">IFERROR(__xludf.DUMMYFUNCTION("VALUE(IF(D106=""EUR"",C106,IF(D106=""USD"",GOOGLEFINANCE(CONCATENATE(L106,N106))*C106,IF(D106=E106,C106/GOOGLEFINANCE(CONCATENATE(N106,J106))))))"),41.75035056)</f>
        <v>41.750350560000001</v>
      </c>
      <c r="N106" s="186" t="s">
        <v>85</v>
      </c>
    </row>
    <row r="107" spans="1:14" ht="13" x14ac:dyDescent="0.15">
      <c r="A107" s="73" t="s">
        <v>730</v>
      </c>
      <c r="B107" s="74" t="s">
        <v>731</v>
      </c>
      <c r="C107" s="131" t="s">
        <v>1026</v>
      </c>
      <c r="D107" s="79" t="s">
        <v>465</v>
      </c>
      <c r="E107" s="79" t="s">
        <v>465</v>
      </c>
      <c r="F107" s="77"/>
      <c r="G107" s="73" t="s">
        <v>730</v>
      </c>
      <c r="H107" s="74" t="s">
        <v>731</v>
      </c>
      <c r="I107" s="185" t="str">
        <f ca="1">IFERROR(__xludf.DUMMYFUNCTION("IF(D107=E107,C107,GOOGLEFINANCE(CONCATENATE(D107,E107))*C107)"),"69.60")</f>
        <v>69.60</v>
      </c>
      <c r="J107" s="79" t="s">
        <v>465</v>
      </c>
      <c r="K107" s="78">
        <f ca="1">IFERROR(__xludf.DUMMYFUNCTION("VALUE(IF(D107=""USD"",C107,IF(D107=""EUR"",C107/GOOGLEFINANCE(CONCATENATE(L107,N107)),IF(D107=E107,C107/GOOGLEFINANCE(CONCATENATE(L107,J107))))))"),21.46160962)</f>
        <v>21.461609620000001</v>
      </c>
      <c r="L107" s="186" t="s">
        <v>86</v>
      </c>
      <c r="M107" s="78">
        <f ca="1">IFERROR(__xludf.DUMMYFUNCTION("VALUE(IF(D107=""EUR"",C107,IF(D107=""USD"",GOOGLEFINANCE(CONCATENATE(L107,N107))*C107,IF(D107=E107,C107/GOOGLEFINANCE(CONCATENATE(N107,J107))))))"),21.81190888)</f>
        <v>21.811908880000001</v>
      </c>
      <c r="N107" s="186" t="s">
        <v>85</v>
      </c>
    </row>
    <row r="108" spans="1:14" ht="13" x14ac:dyDescent="0.15">
      <c r="A108" s="73" t="s">
        <v>84</v>
      </c>
      <c r="B108" s="74" t="s">
        <v>181</v>
      </c>
      <c r="C108" s="131" t="s">
        <v>1027</v>
      </c>
      <c r="D108" s="79" t="s">
        <v>182</v>
      </c>
      <c r="E108" s="79" t="s">
        <v>182</v>
      </c>
      <c r="F108" s="77"/>
      <c r="G108" s="73" t="s">
        <v>84</v>
      </c>
      <c r="H108" s="74" t="s">
        <v>181</v>
      </c>
      <c r="I108" s="185" t="str">
        <f ca="1">IFERROR(__xludf.DUMMYFUNCTION("IF(D108=E108,C108,GOOGLEFINANCE(CONCATENATE(D108,E108))*C108)"),"316.72")</f>
        <v>316.72</v>
      </c>
      <c r="J108" s="79" t="s">
        <v>182</v>
      </c>
      <c r="K108" s="78">
        <f ca="1">IFERROR(__xludf.DUMMYFUNCTION("VALUE(IF(D108=""USD"",C108,IF(D108=""EUR"",C108/GOOGLEFINANCE(CONCATENATE(L108,N108)),IF(D108=E108,C108/GOOGLEFINANCE(CONCATENATE(L108,J108))))))"),17.0226946)</f>
        <v>17.022694600000001</v>
      </c>
      <c r="L108" s="186" t="s">
        <v>86</v>
      </c>
      <c r="M108" s="78">
        <f ca="1">IFERROR(__xludf.DUMMYFUNCTION("VALUE(IF(D108=""EUR"",C108,IF(D108=""USD"",GOOGLEFINANCE(CONCATENATE(L108,N108))*C108,IF(D108=E108,C108/GOOGLEFINANCE(CONCATENATE(N108,J108))))))"),17.30156354)</f>
        <v>17.30156354</v>
      </c>
      <c r="N108" s="186" t="s">
        <v>85</v>
      </c>
    </row>
    <row r="109" spans="1:14" ht="13" x14ac:dyDescent="0.15">
      <c r="A109" s="73" t="s">
        <v>744</v>
      </c>
      <c r="B109" s="74" t="s">
        <v>477</v>
      </c>
      <c r="C109" s="131" t="s">
        <v>1028</v>
      </c>
      <c r="D109" s="79" t="s">
        <v>478</v>
      </c>
      <c r="E109" s="79" t="s">
        <v>478</v>
      </c>
      <c r="F109" s="77"/>
      <c r="G109" s="73" t="s">
        <v>744</v>
      </c>
      <c r="H109" s="74" t="s">
        <v>477</v>
      </c>
      <c r="I109" s="185" t="str">
        <f ca="1">IFERROR(__xludf.DUMMYFUNCTION("IF(D109=E109,C109,GOOGLEFINANCE(CONCATENATE(D109,E109))*C109)"),"200,000.00")</f>
        <v>200,000.00</v>
      </c>
      <c r="J109" s="79" t="s">
        <v>478</v>
      </c>
      <c r="K109" s="78">
        <f ca="1">IFERROR(__xludf.DUMMYFUNCTION("VALUE(IF(D109=""USD"",C109,IF(D109=""EUR"",C109/GOOGLEFINANCE(CONCATENATE(L109,N109)),IF(D109=E109,C109/GOOGLEFINANCE(CONCATENATE(L109,J109))))))"),52.94090709)</f>
        <v>52.940907090000003</v>
      </c>
      <c r="L109" s="186" t="s">
        <v>86</v>
      </c>
      <c r="M109" s="78">
        <f ca="1">IFERROR(__xludf.DUMMYFUNCTION("VALUE(IF(D109=""EUR"",C109,IF(D109=""USD"",GOOGLEFINANCE(CONCATENATE(L109,N109))*C109,IF(D109=E109,C109/GOOGLEFINANCE(CONCATENATE(N109,J109))))))"),53.80501565)</f>
        <v>53.805015650000001</v>
      </c>
      <c r="N109" s="186" t="s">
        <v>85</v>
      </c>
    </row>
    <row r="110" spans="1:14" ht="13" x14ac:dyDescent="0.15">
      <c r="A110" s="73" t="s">
        <v>62</v>
      </c>
      <c r="B110" s="74" t="s">
        <v>185</v>
      </c>
      <c r="C110" s="131" t="s">
        <v>1029</v>
      </c>
      <c r="D110" s="79" t="s">
        <v>186</v>
      </c>
      <c r="E110" s="79" t="s">
        <v>186</v>
      </c>
      <c r="F110" s="77"/>
      <c r="G110" s="73" t="s">
        <v>62</v>
      </c>
      <c r="H110" s="74" t="s">
        <v>185</v>
      </c>
      <c r="I110" s="185" t="str">
        <f ca="1">IFERROR(__xludf.DUMMYFUNCTION("IF(D110=E110,C110,GOOGLEFINANCE(CONCATENATE(D110,E110))*C110)"),"675.54")</f>
        <v>675.54</v>
      </c>
      <c r="J110" s="79" t="s">
        <v>186</v>
      </c>
      <c r="K110" s="78">
        <f ca="1">IFERROR(__xludf.DUMMYFUNCTION("VALUE(IF(D110=""USD"",C110,IF(D110=""EUR"",C110/GOOGLEFINANCE(CONCATENATE(L110,N110)),IF(D110=E110,C110/GOOGLEFINANCE(CONCATENATE(L110,J110))))))"),18.46953364)</f>
        <v>18.469533640000002</v>
      </c>
      <c r="L110" s="186" t="s">
        <v>86</v>
      </c>
      <c r="M110" s="78">
        <f ca="1">IFERROR(__xludf.DUMMYFUNCTION("VALUE(IF(D110=""EUR"",C110,IF(D110=""USD"",GOOGLEFINANCE(CONCATENATE(L110,N110))*C110,IF(D110=E110,C110/GOOGLEFINANCE(CONCATENATE(N110,J110))))))"),18.77099583)</f>
        <v>18.77099583</v>
      </c>
      <c r="N110" s="186" t="s">
        <v>85</v>
      </c>
    </row>
    <row r="111" spans="1:14" ht="13" x14ac:dyDescent="0.15">
      <c r="A111" s="73" t="s">
        <v>69</v>
      </c>
      <c r="B111" s="74" t="s">
        <v>516</v>
      </c>
      <c r="C111" s="131" t="s">
        <v>1030</v>
      </c>
      <c r="D111" s="79" t="s">
        <v>184</v>
      </c>
      <c r="E111" s="79" t="s">
        <v>184</v>
      </c>
      <c r="F111" s="77"/>
      <c r="G111" s="73" t="s">
        <v>69</v>
      </c>
      <c r="H111" s="74" t="s">
        <v>516</v>
      </c>
      <c r="I111" s="185" t="str">
        <f ca="1">IFERROR(__xludf.DUMMYFUNCTION("IF(D111=E111,C111,GOOGLEFINANCE(CONCATENATE(D111,E111))*C111)"),"269.41")</f>
        <v>269.41</v>
      </c>
      <c r="J111" s="79" t="s">
        <v>184</v>
      </c>
      <c r="K111" s="78">
        <f ca="1">IFERROR(__xludf.DUMMYFUNCTION("VALUE(IF(D111=""USD"",C111,IF(D111=""EUR"",C111/GOOGLEFINANCE(CONCATENATE(L111,N111)),IF(D111=E111,C111/GOOGLEFINANCE(CONCATENATE(L111,J111))))))"),73.34896093)</f>
        <v>73.348960930000004</v>
      </c>
      <c r="L111" s="186" t="s">
        <v>86</v>
      </c>
      <c r="M111" s="78">
        <f ca="1">IFERROR(__xludf.DUMMYFUNCTION("VALUE(IF(D111=""EUR"",C111,IF(D111=""USD"",GOOGLEFINANCE(CONCATENATE(L111,N111))*C111,IF(D111=E111,C111/GOOGLEFINANCE(CONCATENATE(N111,J111))))))"),74.54617247)</f>
        <v>74.546172470000002</v>
      </c>
      <c r="N111" s="186" t="s">
        <v>85</v>
      </c>
    </row>
    <row r="112" spans="1:14" ht="13" x14ac:dyDescent="0.15">
      <c r="A112" s="73" t="s">
        <v>27</v>
      </c>
      <c r="B112" s="74" t="s">
        <v>187</v>
      </c>
      <c r="C112" s="131" t="s">
        <v>1031</v>
      </c>
      <c r="D112" s="79" t="s">
        <v>188</v>
      </c>
      <c r="E112" s="79" t="s">
        <v>188</v>
      </c>
      <c r="F112" s="77"/>
      <c r="G112" s="73" t="s">
        <v>27</v>
      </c>
      <c r="H112" s="74" t="s">
        <v>187</v>
      </c>
      <c r="I112" s="185" t="str">
        <f ca="1">IFERROR(__xludf.DUMMYFUNCTION("IF(D112=E112,C112,GOOGLEFINANCE(CONCATENATE(D112,E112))*C112)"),"30.70")</f>
        <v>30.70</v>
      </c>
      <c r="J112" s="79" t="s">
        <v>188</v>
      </c>
      <c r="K112" s="78">
        <f ca="1">IFERROR(__xludf.DUMMYFUNCTION("VALUE(IF(D112=""USD"",C112,IF(D112=""EUR"",C112/GOOGLEFINANCE(CONCATENATE(L112,N112)),IF(D112=E112,C112/GOOGLEFINANCE(CONCATENATE(L112,J112))))))"),34.77079027)</f>
        <v>34.770790269999999</v>
      </c>
      <c r="L112" s="186" t="s">
        <v>86</v>
      </c>
      <c r="M112" s="78">
        <f ca="1">IFERROR(__xludf.DUMMYFUNCTION("VALUE(IF(D112=""EUR"",C112,IF(D112=""USD"",GOOGLEFINANCE(CONCATENATE(L112,N112))*C112,IF(D112=E112,C112/GOOGLEFINANCE(CONCATENATE(N112,J112))))))"),35.33141907)</f>
        <v>35.331419070000003</v>
      </c>
      <c r="N112" s="186" t="s">
        <v>85</v>
      </c>
    </row>
    <row r="113" spans="1:14" ht="13" x14ac:dyDescent="0.15">
      <c r="A113" s="73" t="s">
        <v>26</v>
      </c>
      <c r="B113" s="74" t="s">
        <v>189</v>
      </c>
      <c r="C113" s="131" t="s">
        <v>1032</v>
      </c>
      <c r="D113" s="79" t="s">
        <v>86</v>
      </c>
      <c r="E113" s="79" t="s">
        <v>86</v>
      </c>
      <c r="F113" s="77"/>
      <c r="G113" s="73" t="s">
        <v>26</v>
      </c>
      <c r="H113" s="74" t="s">
        <v>189</v>
      </c>
      <c r="I113" s="185" t="str">
        <f ca="1">IFERROR(__xludf.DUMMYFUNCTION("IF(D113=E113,C113,GOOGLEFINANCE(CONCATENATE(D113,E113))*C113)"),"37.35")</f>
        <v>37.35</v>
      </c>
      <c r="J113" s="79" t="s">
        <v>86</v>
      </c>
      <c r="K113" s="78">
        <f ca="1">IFERROR(__xludf.DUMMYFUNCTION("VALUE(IF(D113=""USD"",C113,IF(D113=""EUR"",C113/GOOGLEFINANCE(CONCATENATE(L113,N113)),IF(D113=E113,C113/GOOGLEFINANCE(CONCATENATE(L113,J113))))))"),37.35)</f>
        <v>37.35</v>
      </c>
      <c r="L113" s="186" t="s">
        <v>86</v>
      </c>
      <c r="M113" s="78">
        <f ca="1">IFERROR(__xludf.DUMMYFUNCTION("VALUE(IF(D113=""EUR"",C113,IF(D113=""USD"",GOOGLEFINANCE(CONCATENATE(L113,N113))*C113,IF(D113=E113,C113/GOOGLEFINANCE(CONCATENATE(N113,J113))))))"),37.96160625)</f>
        <v>37.961606250000003</v>
      </c>
      <c r="N113" s="186" t="s">
        <v>85</v>
      </c>
    </row>
    <row r="114" spans="1:14" ht="13" x14ac:dyDescent="0.15">
      <c r="A114" s="73" t="s">
        <v>747</v>
      </c>
      <c r="B114" s="74" t="s">
        <v>748</v>
      </c>
      <c r="C114" s="131" t="s">
        <v>1033</v>
      </c>
      <c r="D114" s="79" t="s">
        <v>485</v>
      </c>
      <c r="E114" s="79" t="s">
        <v>485</v>
      </c>
      <c r="F114" s="77"/>
      <c r="G114" s="73" t="s">
        <v>747</v>
      </c>
      <c r="H114" s="74" t="s">
        <v>748</v>
      </c>
      <c r="I114" s="185" t="str">
        <f ca="1">IFERROR(__xludf.DUMMYFUNCTION("IF(D114=E114,C114,GOOGLEFINANCE(CONCATENATE(D114,E114))*C114)"),"1,866.95")</f>
        <v>1,866.95</v>
      </c>
      <c r="J114" s="79" t="s">
        <v>485</v>
      </c>
      <c r="K114" s="78">
        <f ca="1">IFERROR(__xludf.DUMMYFUNCTION("VALUE(IF(D114=""USD"",C114,IF(D114=""EUR"",C114/GOOGLEFINANCE(CONCATENATE(L114,N114)),IF(D114=E114,C114/GOOGLEFINANCE(CONCATENATE(L114,J114))))))"),45.70439408)</f>
        <v>45.70439408</v>
      </c>
      <c r="L114" s="186" t="s">
        <v>86</v>
      </c>
      <c r="M114" s="78">
        <f ca="1">IFERROR(__xludf.DUMMYFUNCTION("VALUE(IF(D114=""EUR"",C114,IF(D114=""USD"",GOOGLEFINANCE(CONCATENATE(L114,N114))*C114,IF(D114=E114,C114/GOOGLEFINANCE(CONCATENATE(N114,J114))))))"),46.45038731)</f>
        <v>46.450387310000004</v>
      </c>
      <c r="N114" s="186" t="s">
        <v>85</v>
      </c>
    </row>
    <row r="115" spans="1:14" ht="13" x14ac:dyDescent="0.15">
      <c r="A115" s="73" t="s">
        <v>749</v>
      </c>
      <c r="B115" s="74" t="s">
        <v>487</v>
      </c>
      <c r="C115" s="131" t="s">
        <v>1034</v>
      </c>
      <c r="D115" s="97" t="s">
        <v>86</v>
      </c>
      <c r="E115" s="85" t="s">
        <v>488</v>
      </c>
      <c r="F115" s="77"/>
      <c r="G115" s="73" t="s">
        <v>749</v>
      </c>
      <c r="H115" s="74" t="s">
        <v>487</v>
      </c>
      <c r="I115" s="185" t="str">
        <f ca="1">IFERROR(__xludf.DUMMYFUNCTION("IF(D115=E115,C115,GOOGLEFINANCE(CONCATENATE(D115,E115))*C115)"),"#N/A")</f>
        <v>#N/A</v>
      </c>
      <c r="J115" s="85" t="s">
        <v>488</v>
      </c>
      <c r="K115" s="78">
        <f ca="1">IFERROR(__xludf.DUMMYFUNCTION("VALUE(IF(D115=""USD"",C115,IF(D115=""EUR"",C115/GOOGLEFINANCE(CONCATENATE(L115,N115)),IF(D115=E115,C115/GOOGLEFINANCE(CONCATENATE(L115,J115))))))"),35.91)</f>
        <v>35.909999999999997</v>
      </c>
      <c r="L115" s="186" t="s">
        <v>86</v>
      </c>
      <c r="M115" s="78">
        <f ca="1">IFERROR(__xludf.DUMMYFUNCTION("VALUE(IF(D115=""EUR"",C115,IF(D115=""USD"",GOOGLEFINANCE(CONCATENATE(L115,N115))*C115,IF(D115=E115,C115/GOOGLEFINANCE(CONCATENATE(N115,J115))))))"),36.49802625)</f>
        <v>36.498026250000002</v>
      </c>
      <c r="N115" s="186" t="s">
        <v>85</v>
      </c>
    </row>
    <row r="116" spans="1:14" ht="13" x14ac:dyDescent="0.15">
      <c r="A116" s="73" t="s">
        <v>750</v>
      </c>
      <c r="B116" s="74" t="s">
        <v>751</v>
      </c>
      <c r="C116" s="131" t="s">
        <v>1035</v>
      </c>
      <c r="D116" s="97" t="s">
        <v>86</v>
      </c>
      <c r="E116" s="97" t="s">
        <v>491</v>
      </c>
      <c r="F116" s="77"/>
      <c r="G116" s="73" t="s">
        <v>750</v>
      </c>
      <c r="H116" s="74" t="s">
        <v>751</v>
      </c>
      <c r="I116" s="185">
        <f ca="1">IFERROR(__xludf.DUMMYFUNCTION("IF(D116=E116,C116,GOOGLEFINANCE(CONCATENATE(D116,E116))*C116)"),322.10892)</f>
        <v>322.10892000000001</v>
      </c>
      <c r="J116" s="97" t="s">
        <v>491</v>
      </c>
      <c r="K116" s="78">
        <f ca="1">IFERROR(__xludf.DUMMYFUNCTION("VALUE(IF(D116=""USD"",C116,IF(D116=""EUR"",C116/GOOGLEFINANCE(CONCATENATE(L116,N116)),IF(D116=E116,C116/GOOGLEFINANCE(CONCATENATE(L116,J116))))))"),38.36)</f>
        <v>38.36</v>
      </c>
      <c r="L116" s="186" t="s">
        <v>86</v>
      </c>
      <c r="M116" s="78">
        <f ca="1">IFERROR(__xludf.DUMMYFUNCTION("VALUE(IF(D116=""EUR"",C116,IF(D116=""USD"",GOOGLEFINANCE(CONCATENATE(L116,N116))*C116,IF(D116=E116,C116/GOOGLEFINANCE(CONCATENATE(N116,J116))))))"),38.988145)</f>
        <v>38.988145000000003</v>
      </c>
      <c r="N116" s="186" t="s">
        <v>85</v>
      </c>
    </row>
    <row r="117" spans="1:14" ht="13" x14ac:dyDescent="0.15">
      <c r="A117" s="73" t="s">
        <v>79</v>
      </c>
      <c r="B117" s="74" t="s">
        <v>190</v>
      </c>
      <c r="C117" s="131" t="s">
        <v>1036</v>
      </c>
      <c r="D117" s="79" t="s">
        <v>191</v>
      </c>
      <c r="E117" s="79" t="s">
        <v>191</v>
      </c>
      <c r="F117" s="77"/>
      <c r="G117" s="73" t="s">
        <v>79</v>
      </c>
      <c r="H117" s="74" t="s">
        <v>190</v>
      </c>
      <c r="I117" s="185" t="str">
        <f ca="1">IFERROR(__xludf.DUMMYFUNCTION("IF(D117=E117,C117,GOOGLEFINANCE(CONCATENATE(D117,E117))*C117)"),"536,055.04")</f>
        <v>536,055.04</v>
      </c>
      <c r="J117" s="79" t="s">
        <v>191</v>
      </c>
      <c r="K117" s="78">
        <f ca="1">IFERROR(__xludf.DUMMYFUNCTION("VALUE(IF(D117=""USD"",C117,IF(D117=""EUR"",C117/GOOGLEFINANCE(CONCATENATE(L117,N117)),IF(D117=E117,C117/GOOGLEFINANCE(CONCATENATE(L117,J117))))))"),21.58466036)</f>
        <v>21.584660360000001</v>
      </c>
      <c r="L117" s="186" t="s">
        <v>86</v>
      </c>
      <c r="M117" s="78">
        <f ca="1">IFERROR(__xludf.DUMMYFUNCTION("VALUE(IF(D117=""EUR"",C117,IF(D117=""USD"",GOOGLEFINANCE(CONCATENATE(L117,N117))*C117,IF(D117=E117,C117/GOOGLEFINANCE(CONCATENATE(N117,J117))))))"),21.93696807)</f>
        <v>21.936968069999999</v>
      </c>
      <c r="N117" s="186" t="s">
        <v>85</v>
      </c>
    </row>
    <row r="118" spans="1:14" ht="13" x14ac:dyDescent="0.15">
      <c r="A118" s="73" t="s">
        <v>758</v>
      </c>
      <c r="B118" s="74" t="s">
        <v>497</v>
      </c>
      <c r="C118" s="131" t="s">
        <v>1037</v>
      </c>
      <c r="D118" s="97" t="s">
        <v>86</v>
      </c>
      <c r="E118" s="85" t="s">
        <v>498</v>
      </c>
      <c r="F118" s="77"/>
      <c r="G118" s="73" t="s">
        <v>758</v>
      </c>
      <c r="H118" s="74" t="s">
        <v>497</v>
      </c>
      <c r="I118" s="185">
        <f ca="1">IFERROR(__xludf.DUMMYFUNCTION("IF(D118=E118,C118,GOOGLEFINANCE(CONCATENATE(D118,E118))*C118)"),302.539965)</f>
        <v>302.539965</v>
      </c>
      <c r="J118" s="85" t="s">
        <v>498</v>
      </c>
      <c r="K118" s="78">
        <f ca="1">IFERROR(__xludf.DUMMYFUNCTION("VALUE(IF(D118=""USD"",C118,IF(D118=""EUR"",C118/GOOGLEFINANCE(CONCATENATE(L118,N118)),IF(D118=E118,C118/GOOGLEFINANCE(CONCATENATE(L118,J118))))))"),19.11)</f>
        <v>19.11</v>
      </c>
      <c r="L118" s="186" t="s">
        <v>86</v>
      </c>
      <c r="M118" s="78">
        <f ca="1">IFERROR(__xludf.DUMMYFUNCTION("VALUE(IF(D118=""EUR"",C118,IF(D118=""USD"",GOOGLEFINANCE(CONCATENATE(L118,N118))*C118,IF(D118=E118,C118/GOOGLEFINANCE(CONCATENATE(N118,J118))))))"),19.42292625)</f>
        <v>19.42292625</v>
      </c>
      <c r="N118" s="186" t="s">
        <v>85</v>
      </c>
    </row>
  </sheetData>
  <autoFilter ref="A1:N118" xr:uid="{00000000-0009-0000-0000-000012000000}"/>
  <mergeCells count="1">
    <mergeCell ref="I24:N24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J12"/>
  <sheetViews>
    <sheetView workbookViewId="0"/>
  </sheetViews>
  <sheetFormatPr baseColWidth="10" defaultColWidth="12.6640625" defaultRowHeight="15.75" customHeight="1" x14ac:dyDescent="0.15"/>
  <sheetData>
    <row r="1" spans="1:10" ht="15.75" customHeight="1" x14ac:dyDescent="0.15">
      <c r="A1" s="1" t="s">
        <v>1038</v>
      </c>
      <c r="B1" s="1" t="s">
        <v>1039</v>
      </c>
      <c r="C1" s="1" t="s">
        <v>1040</v>
      </c>
      <c r="D1" s="1" t="s">
        <v>1041</v>
      </c>
    </row>
    <row r="2" spans="1:10" ht="15.75" customHeight="1" x14ac:dyDescent="0.15">
      <c r="A2" s="188" t="s">
        <v>2</v>
      </c>
      <c r="B2" s="189" t="s">
        <v>1042</v>
      </c>
      <c r="C2" s="190" t="s">
        <v>1043</v>
      </c>
      <c r="D2" s="191" t="s">
        <v>1044</v>
      </c>
      <c r="E2" s="52" t="s">
        <v>1045</v>
      </c>
    </row>
    <row r="3" spans="1:10" ht="15.75" customHeight="1" x14ac:dyDescent="0.15">
      <c r="A3" s="52" t="s">
        <v>1046</v>
      </c>
      <c r="B3" s="52" t="s">
        <v>1047</v>
      </c>
      <c r="C3" s="192" t="s">
        <v>1048</v>
      </c>
      <c r="D3" s="13" t="s">
        <v>1049</v>
      </c>
    </row>
    <row r="4" spans="1:10" ht="15.75" customHeight="1" x14ac:dyDescent="0.15">
      <c r="A4" s="52" t="s">
        <v>1050</v>
      </c>
      <c r="B4" s="52" t="s">
        <v>1051</v>
      </c>
      <c r="C4" s="192" t="s">
        <v>1052</v>
      </c>
      <c r="D4" s="13" t="s">
        <v>1053</v>
      </c>
    </row>
    <row r="5" spans="1:10" ht="15.75" customHeight="1" x14ac:dyDescent="0.15">
      <c r="A5" s="189" t="s">
        <v>4</v>
      </c>
      <c r="B5" s="189" t="s">
        <v>1054</v>
      </c>
      <c r="C5" s="193" t="s">
        <v>1055</v>
      </c>
      <c r="D5" s="191" t="s">
        <v>1044</v>
      </c>
    </row>
    <row r="6" spans="1:10" ht="15.75" customHeight="1" x14ac:dyDescent="0.15">
      <c r="A6" s="52" t="s">
        <v>1056</v>
      </c>
      <c r="B6" s="52" t="s">
        <v>1057</v>
      </c>
      <c r="C6" s="192" t="s">
        <v>1058</v>
      </c>
      <c r="D6" s="13">
        <v>2021</v>
      </c>
    </row>
    <row r="7" spans="1:10" ht="15.75" customHeight="1" x14ac:dyDescent="0.15">
      <c r="A7" s="189" t="s">
        <v>874</v>
      </c>
      <c r="B7" s="189" t="s">
        <v>1059</v>
      </c>
      <c r="C7" s="193" t="s">
        <v>1060</v>
      </c>
      <c r="D7" s="191">
        <v>2021</v>
      </c>
    </row>
    <row r="8" spans="1:10" ht="15.75" customHeight="1" x14ac:dyDescent="0.15">
      <c r="A8" s="52" t="s">
        <v>1061</v>
      </c>
      <c r="B8" s="52" t="s">
        <v>1062</v>
      </c>
      <c r="C8" s="194" t="s">
        <v>1063</v>
      </c>
      <c r="D8" s="13">
        <v>2021</v>
      </c>
    </row>
    <row r="9" spans="1:10" ht="15.75" customHeight="1" x14ac:dyDescent="0.15">
      <c r="A9" s="195" t="s">
        <v>5</v>
      </c>
      <c r="B9" s="52" t="s">
        <v>1064</v>
      </c>
      <c r="C9" s="196" t="s">
        <v>1065</v>
      </c>
      <c r="D9" s="197">
        <v>44531</v>
      </c>
    </row>
    <row r="10" spans="1:10" ht="15.75" customHeight="1" x14ac:dyDescent="0.15">
      <c r="A10" s="195" t="s">
        <v>6</v>
      </c>
      <c r="B10" s="52" t="s">
        <v>1066</v>
      </c>
      <c r="C10" s="196" t="s">
        <v>1067</v>
      </c>
      <c r="D10" s="52" t="s">
        <v>1053</v>
      </c>
    </row>
    <row r="11" spans="1:10" ht="15.75" customHeight="1" x14ac:dyDescent="0.15">
      <c r="A11" s="195" t="s">
        <v>1068</v>
      </c>
      <c r="B11" s="52" t="s">
        <v>1069</v>
      </c>
      <c r="C11" s="196" t="s">
        <v>1070</v>
      </c>
      <c r="D11" s="52" t="s">
        <v>1071</v>
      </c>
      <c r="E11" s="52" t="s">
        <v>1072</v>
      </c>
      <c r="J11" s="196" t="s">
        <v>1073</v>
      </c>
    </row>
    <row r="12" spans="1:10" ht="15.75" customHeight="1" x14ac:dyDescent="0.15">
      <c r="A12" s="195" t="s">
        <v>1074</v>
      </c>
      <c r="B12" s="52" t="s">
        <v>1075</v>
      </c>
      <c r="C12" s="196" t="s">
        <v>1076</v>
      </c>
      <c r="D12" s="52">
        <v>2021</v>
      </c>
      <c r="E12" s="52" t="s">
        <v>1077</v>
      </c>
    </row>
  </sheetData>
  <hyperlinks>
    <hyperlink ref="C2" r:id="rId1" xr:uid="{00000000-0004-0000-1300-000000000000}"/>
    <hyperlink ref="C3" r:id="rId2" xr:uid="{00000000-0004-0000-1300-000001000000}"/>
    <hyperlink ref="C4" r:id="rId3" xr:uid="{00000000-0004-0000-1300-000002000000}"/>
    <hyperlink ref="C5" r:id="rId4" xr:uid="{00000000-0004-0000-1300-000003000000}"/>
    <hyperlink ref="C6" r:id="rId5" xr:uid="{00000000-0004-0000-1300-000004000000}"/>
    <hyperlink ref="C7" r:id="rId6" xr:uid="{00000000-0004-0000-1300-000005000000}"/>
    <hyperlink ref="C8" r:id="rId7" xr:uid="{00000000-0004-0000-1300-000006000000}"/>
    <hyperlink ref="C9" r:id="rId8" xr:uid="{00000000-0004-0000-1300-000007000000}"/>
    <hyperlink ref="C10" r:id="rId9" xr:uid="{00000000-0004-0000-1300-000008000000}"/>
    <hyperlink ref="C11" r:id="rId10" xr:uid="{00000000-0004-0000-1300-000009000000}"/>
    <hyperlink ref="J11" r:id="rId11" xr:uid="{00000000-0004-0000-1300-00000A000000}"/>
    <hyperlink ref="C12" r:id="rId12" xr:uid="{00000000-0004-0000-1300-00000B000000}"/>
  </hyperlinks>
  <pageMargins left="0.7" right="0.7" top="0.75" bottom="0.75" header="0.3" footer="0.3"/>
  <legacyDrawing r:id="rId1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B29"/>
  <sheetViews>
    <sheetView workbookViewId="0"/>
  </sheetViews>
  <sheetFormatPr baseColWidth="10" defaultColWidth="12.6640625" defaultRowHeight="15.75" customHeight="1" x14ac:dyDescent="0.15"/>
  <sheetData>
    <row r="1" spans="1:2" ht="15.75" customHeight="1" x14ac:dyDescent="0.15">
      <c r="A1" s="14" t="str">
        <f ca="1">IFERROR(__xludf.DUMMYFUNCTION("IMPORTRANGE(""1HpcXOoUY6phKR3yK8ByJUUsMnpVVZ7yXmMDAN-Fgb4A"",""Języki!A1:B29"")"),"Arabic")</f>
        <v>Arabic</v>
      </c>
      <c r="B1" s="14">
        <f ca="1">IFERROR(__xludf.DUMMYFUNCTION("""COMPUTED_VALUE"""),3)</f>
        <v>3</v>
      </c>
    </row>
    <row r="2" spans="1:2" ht="15.75" customHeight="1" x14ac:dyDescent="0.15">
      <c r="A2" s="14" t="str">
        <f ca="1">IFERROR(__xludf.DUMMYFUNCTION("""COMPUTED_VALUE"""),"Belarussian")</f>
        <v>Belarussian</v>
      </c>
      <c r="B2" s="14">
        <f ca="1">IFERROR(__xludf.DUMMYFUNCTION("""COMPUTED_VALUE"""),6)</f>
        <v>6</v>
      </c>
    </row>
    <row r="3" spans="1:2" ht="15.75" customHeight="1" x14ac:dyDescent="0.15">
      <c r="A3" s="14" t="str">
        <f ca="1">IFERROR(__xludf.DUMMYFUNCTION("""COMPUTED_VALUE"""),"Braz. Portuguese")</f>
        <v>Braz. Portuguese</v>
      </c>
      <c r="B3" s="14">
        <f ca="1">IFERROR(__xludf.DUMMYFUNCTION("""COMPUTED_VALUE"""),5)</f>
        <v>5</v>
      </c>
    </row>
    <row r="4" spans="1:2" ht="15.75" customHeight="1" x14ac:dyDescent="0.15">
      <c r="A4" s="14" t="str">
        <f ca="1">IFERROR(__xludf.DUMMYFUNCTION("""COMPUTED_VALUE"""),"Bulgarian")</f>
        <v>Bulgarian</v>
      </c>
      <c r="B4" s="14">
        <f ca="1">IFERROR(__xludf.DUMMYFUNCTION("""COMPUTED_VALUE"""),4)</f>
        <v>4</v>
      </c>
    </row>
    <row r="5" spans="1:2" ht="15.75" customHeight="1" x14ac:dyDescent="0.15">
      <c r="A5" s="14" t="str">
        <f ca="1">IFERROR(__xludf.DUMMYFUNCTION("""COMPUTED_VALUE"""),"Croatian")</f>
        <v>Croatian</v>
      </c>
      <c r="B5" s="14">
        <f ca="1">IFERROR(__xludf.DUMMYFUNCTION("""COMPUTED_VALUE"""),13)</f>
        <v>13</v>
      </c>
    </row>
    <row r="6" spans="1:2" ht="15.75" customHeight="1" x14ac:dyDescent="0.15">
      <c r="A6" s="14" t="str">
        <f ca="1">IFERROR(__xludf.DUMMYFUNCTION("""COMPUTED_VALUE"""),"Czech")</f>
        <v>Czech</v>
      </c>
      <c r="B6" s="14">
        <f ca="1">IFERROR(__xludf.DUMMYFUNCTION("""COMPUTED_VALUE"""),7)</f>
        <v>7</v>
      </c>
    </row>
    <row r="7" spans="1:2" ht="15.75" customHeight="1" x14ac:dyDescent="0.15">
      <c r="A7" s="14" t="str">
        <f ca="1">IFERROR(__xludf.DUMMYFUNCTION("""COMPUTED_VALUE"""),"English")</f>
        <v>English</v>
      </c>
      <c r="B7" s="14">
        <f ca="1">IFERROR(__xludf.DUMMYFUNCTION("""COMPUTED_VALUE"""),2)</f>
        <v>2</v>
      </c>
    </row>
    <row r="8" spans="1:2" ht="15.75" customHeight="1" x14ac:dyDescent="0.15">
      <c r="A8" s="14" t="str">
        <f ca="1">IFERROR(__xludf.DUMMYFUNCTION("""COMPUTED_VALUE"""),"Finnish")</f>
        <v>Finnish</v>
      </c>
      <c r="B8" s="14">
        <f ca="1">IFERROR(__xludf.DUMMYFUNCTION("""COMPUTED_VALUE"""),10)</f>
        <v>10</v>
      </c>
    </row>
    <row r="9" spans="1:2" ht="15.75" customHeight="1" x14ac:dyDescent="0.15">
      <c r="A9" s="14" t="str">
        <f ca="1">IFERROR(__xludf.DUMMYFUNCTION("""COMPUTED_VALUE"""),"German")</f>
        <v>German</v>
      </c>
      <c r="B9" s="14">
        <f ca="1">IFERROR(__xludf.DUMMYFUNCTION("""COMPUTED_VALUE"""),8)</f>
        <v>8</v>
      </c>
    </row>
    <row r="10" spans="1:2" ht="15.75" customHeight="1" x14ac:dyDescent="0.15">
      <c r="A10" s="14" t="str">
        <f ca="1">IFERROR(__xludf.DUMMYFUNCTION("""COMPUTED_VALUE"""),"Greek")</f>
        <v>Greek</v>
      </c>
      <c r="B10" s="14">
        <f ca="1">IFERROR(__xludf.DUMMYFUNCTION("""COMPUTED_VALUE"""),11)</f>
        <v>11</v>
      </c>
    </row>
    <row r="11" spans="1:2" ht="15.75" customHeight="1" x14ac:dyDescent="0.15">
      <c r="A11" s="14" t="str">
        <f ca="1">IFERROR(__xludf.DUMMYFUNCTION("""COMPUTED_VALUE"""),"Hungarian")</f>
        <v>Hungarian</v>
      </c>
      <c r="B11" s="14">
        <f ca="1">IFERROR(__xludf.DUMMYFUNCTION("""COMPUTED_VALUE"""),14)</f>
        <v>14</v>
      </c>
    </row>
    <row r="12" spans="1:2" ht="15.75" customHeight="1" x14ac:dyDescent="0.15">
      <c r="A12" s="14" t="str">
        <f ca="1">IFERROR(__xludf.DUMMYFUNCTION("""COMPUTED_VALUE"""),"Indonesian")</f>
        <v>Indonesian</v>
      </c>
      <c r="B12" s="14">
        <f ca="1">IFERROR(__xludf.DUMMYFUNCTION("""COMPUTED_VALUE"""),15)</f>
        <v>15</v>
      </c>
    </row>
    <row r="13" spans="1:2" ht="15.75" customHeight="1" x14ac:dyDescent="0.15">
      <c r="A13" s="14" t="str">
        <f ca="1">IFERROR(__xludf.DUMMYFUNCTION("""COMPUTED_VALUE"""),"Italian")</f>
        <v>Italian</v>
      </c>
      <c r="B13" s="14">
        <f ca="1">IFERROR(__xludf.DUMMYFUNCTION("""COMPUTED_VALUE"""),16)</f>
        <v>16</v>
      </c>
    </row>
    <row r="14" spans="1:2" ht="15.75" customHeight="1" x14ac:dyDescent="0.15">
      <c r="A14" s="14" t="str">
        <f ca="1">IFERROR(__xludf.DUMMYFUNCTION("""COMPUTED_VALUE"""),"Korean")</f>
        <v>Korean</v>
      </c>
      <c r="B14" s="14">
        <f ca="1">IFERROR(__xludf.DUMMYFUNCTION("""COMPUTED_VALUE"""),17)</f>
        <v>17</v>
      </c>
    </row>
    <row r="15" spans="1:2" ht="15.75" customHeight="1" x14ac:dyDescent="0.15">
      <c r="A15" s="14" t="str">
        <f ca="1">IFERROR(__xludf.DUMMYFUNCTION("""COMPUTED_VALUE"""),"Polish")</f>
        <v>Polish</v>
      </c>
      <c r="B15" s="14">
        <f ca="1">IFERROR(__xludf.DUMMYFUNCTION("""COMPUTED_VALUE"""),18)</f>
        <v>18</v>
      </c>
    </row>
    <row r="16" spans="1:2" ht="15.75" customHeight="1" x14ac:dyDescent="0.15">
      <c r="A16" s="14" t="str">
        <f ca="1">IFERROR(__xludf.DUMMYFUNCTION("""COMPUTED_VALUE"""),"Portuguese")</f>
        <v>Portuguese</v>
      </c>
      <c r="B16" s="14">
        <f ca="1">IFERROR(__xludf.DUMMYFUNCTION("""COMPUTED_VALUE"""),19)</f>
        <v>19</v>
      </c>
    </row>
    <row r="17" spans="1:2" ht="15.75" customHeight="1" x14ac:dyDescent="0.15">
      <c r="A17" s="14" t="str">
        <f ca="1">IFERROR(__xludf.DUMMYFUNCTION("""COMPUTED_VALUE"""),"Romanian")</f>
        <v>Romanian</v>
      </c>
      <c r="B17" s="14">
        <f ca="1">IFERROR(__xludf.DUMMYFUNCTION("""COMPUTED_VALUE"""),20)</f>
        <v>20</v>
      </c>
    </row>
    <row r="18" spans="1:2" ht="15.75" customHeight="1" x14ac:dyDescent="0.15">
      <c r="A18" s="14" t="str">
        <f ca="1">IFERROR(__xludf.DUMMYFUNCTION("""COMPUTED_VALUE"""),"Russian")</f>
        <v>Russian</v>
      </c>
      <c r="B18" s="14">
        <f ca="1">IFERROR(__xludf.DUMMYFUNCTION("""COMPUTED_VALUE"""),22)</f>
        <v>22</v>
      </c>
    </row>
    <row r="19" spans="1:2" ht="15.75" customHeight="1" x14ac:dyDescent="0.15">
      <c r="A19" s="14" t="str">
        <f ca="1">IFERROR(__xludf.DUMMYFUNCTION("""COMPUTED_VALUE"""),"Serbian")</f>
        <v>Serbian</v>
      </c>
      <c r="B19" s="14">
        <f ca="1">IFERROR(__xludf.DUMMYFUNCTION("""COMPUTED_VALUE"""),21)</f>
        <v>21</v>
      </c>
    </row>
    <row r="20" spans="1:2" ht="15.75" customHeight="1" x14ac:dyDescent="0.15">
      <c r="A20" s="14" t="str">
        <f ca="1">IFERROR(__xludf.DUMMYFUNCTION("""COMPUTED_VALUE"""),"Slovak")</f>
        <v>Slovak</v>
      </c>
      <c r="B20" s="14">
        <f ca="1">IFERROR(__xludf.DUMMYFUNCTION("""COMPUTED_VALUE"""),25)</f>
        <v>25</v>
      </c>
    </row>
    <row r="21" spans="1:2" ht="15.75" customHeight="1" x14ac:dyDescent="0.15">
      <c r="A21" s="14" t="str">
        <f ca="1">IFERROR(__xludf.DUMMYFUNCTION("""COMPUTED_VALUE"""),"Slovenian")</f>
        <v>Slovenian</v>
      </c>
      <c r="B21" s="14">
        <f ca="1">IFERROR(__xludf.DUMMYFUNCTION("""COMPUTED_VALUE"""),24)</f>
        <v>24</v>
      </c>
    </row>
    <row r="22" spans="1:2" ht="15.75" customHeight="1" x14ac:dyDescent="0.15">
      <c r="A22" s="14" t="str">
        <f ca="1">IFERROR(__xludf.DUMMYFUNCTION("""COMPUTED_VALUE"""),"Spanish")</f>
        <v>Spanish</v>
      </c>
      <c r="B22" s="14">
        <f ca="1">IFERROR(__xludf.DUMMYFUNCTION("""COMPUTED_VALUE"""),9)</f>
        <v>9</v>
      </c>
    </row>
    <row r="23" spans="1:2" ht="15.75" customHeight="1" x14ac:dyDescent="0.15">
      <c r="A23" s="14" t="str">
        <f ca="1">IFERROR(__xludf.DUMMYFUNCTION("""COMPUTED_VALUE"""),"Swedish")</f>
        <v>Swedish</v>
      </c>
      <c r="B23" s="14">
        <f ca="1">IFERROR(__xludf.DUMMYFUNCTION("""COMPUTED_VALUE"""),23)</f>
        <v>23</v>
      </c>
    </row>
    <row r="24" spans="1:2" ht="15.75" customHeight="1" x14ac:dyDescent="0.15">
      <c r="A24" s="14" t="str">
        <f ca="1">IFERROR(__xludf.DUMMYFUNCTION("""COMPUTED_VALUE"""),"Thai")</f>
        <v>Thai</v>
      </c>
      <c r="B24" s="14">
        <f ca="1">IFERROR(__xludf.DUMMYFUNCTION("""COMPUTED_VALUE"""),26)</f>
        <v>26</v>
      </c>
    </row>
    <row r="25" spans="1:2" ht="15.75" customHeight="1" x14ac:dyDescent="0.15">
      <c r="A25" s="14" t="str">
        <f ca="1">IFERROR(__xludf.DUMMYFUNCTION("""COMPUTED_VALUE"""),"Turkish")</f>
        <v>Turkish</v>
      </c>
      <c r="B25" s="14">
        <f ca="1">IFERROR(__xludf.DUMMYFUNCTION("""COMPUTED_VALUE"""),27)</f>
        <v>27</v>
      </c>
    </row>
    <row r="26" spans="1:2" ht="15.75" customHeight="1" x14ac:dyDescent="0.15">
      <c r="A26" s="14" t="str">
        <f ca="1">IFERROR(__xludf.DUMMYFUNCTION("""COMPUTED_VALUE"""),"Ukrainian")</f>
        <v>Ukrainian</v>
      </c>
      <c r="B26" s="14">
        <f ca="1">IFERROR(__xludf.DUMMYFUNCTION("""COMPUTED_VALUE"""),29)</f>
        <v>29</v>
      </c>
    </row>
    <row r="27" spans="1:2" ht="15.75" customHeight="1" x14ac:dyDescent="0.15">
      <c r="A27" s="14" t="str">
        <f ca="1">IFERROR(__xludf.DUMMYFUNCTION("""COMPUTED_VALUE"""),"Vietnamese")</f>
        <v>Vietnamese</v>
      </c>
      <c r="B27" s="14">
        <f ca="1">IFERROR(__xludf.DUMMYFUNCTION("""COMPUTED_VALUE"""),30)</f>
        <v>30</v>
      </c>
    </row>
    <row r="28" spans="1:2" ht="15.75" customHeight="1" x14ac:dyDescent="0.15">
      <c r="A28" s="14" t="str">
        <f ca="1">IFERROR(__xludf.DUMMYFUNCTION("""COMPUTED_VALUE"""),"Kazakh")</f>
        <v>Kazakh</v>
      </c>
      <c r="B28" s="14">
        <f ca="1">IFERROR(__xludf.DUMMYFUNCTION("""COMPUTED_VALUE"""),31)</f>
        <v>31</v>
      </c>
    </row>
    <row r="29" spans="1:2" ht="15.75" customHeight="1" x14ac:dyDescent="0.15">
      <c r="A29" s="14"/>
      <c r="B29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E62"/>
  <sheetViews>
    <sheetView workbookViewId="0"/>
  </sheetViews>
  <sheetFormatPr baseColWidth="10" defaultColWidth="12.6640625" defaultRowHeight="15.75" customHeight="1" x14ac:dyDescent="0.15"/>
  <cols>
    <col min="1" max="1" width="4.1640625" customWidth="1"/>
    <col min="7" max="8" width="12.1640625" customWidth="1"/>
    <col min="9" max="9" width="4.1640625" customWidth="1"/>
    <col min="10" max="24" width="12.1640625" customWidth="1"/>
    <col min="25" max="25" width="14.6640625" customWidth="1"/>
    <col min="26" max="31" width="12.1640625" customWidth="1"/>
  </cols>
  <sheetData>
    <row r="1" spans="1:31" ht="15.75" customHeight="1" x14ac:dyDescent="0.25">
      <c r="A1" s="206" t="s">
        <v>192</v>
      </c>
      <c r="B1" s="207"/>
      <c r="C1" s="207"/>
      <c r="D1" s="207"/>
      <c r="E1" s="207"/>
      <c r="F1" s="207"/>
      <c r="G1" s="208"/>
      <c r="H1" s="30"/>
      <c r="I1" s="209" t="s">
        <v>193</v>
      </c>
      <c r="J1" s="207"/>
      <c r="K1" s="207"/>
      <c r="L1" s="207"/>
      <c r="M1" s="207"/>
      <c r="N1" s="207"/>
      <c r="O1" s="208"/>
      <c r="P1" s="30"/>
      <c r="Q1" s="30"/>
      <c r="R1" s="210" t="s">
        <v>194</v>
      </c>
      <c r="S1" s="199"/>
      <c r="T1" s="199"/>
      <c r="U1" s="199"/>
      <c r="V1" s="199"/>
      <c r="W1" s="199"/>
      <c r="X1" s="30"/>
      <c r="Y1" s="31" t="s">
        <v>195</v>
      </c>
      <c r="Z1" s="32">
        <v>500</v>
      </c>
      <c r="AA1" s="211" t="s">
        <v>196</v>
      </c>
      <c r="AB1" s="199"/>
      <c r="AC1" s="199"/>
      <c r="AD1" s="199"/>
      <c r="AE1" s="30"/>
    </row>
    <row r="2" spans="1:31" ht="15.75" customHeight="1" x14ac:dyDescent="0.15">
      <c r="A2" s="212"/>
      <c r="B2" s="202"/>
      <c r="C2" s="214" t="s">
        <v>197</v>
      </c>
      <c r="D2" s="201"/>
      <c r="E2" s="201"/>
      <c r="F2" s="202"/>
      <c r="G2" s="33" t="s">
        <v>198</v>
      </c>
      <c r="H2" s="34"/>
      <c r="I2" s="213" t="s">
        <v>199</v>
      </c>
      <c r="J2" s="202"/>
      <c r="K2" s="214" t="s">
        <v>200</v>
      </c>
      <c r="L2" s="201"/>
      <c r="M2" s="201"/>
      <c r="N2" s="202"/>
      <c r="O2" s="33" t="s">
        <v>201</v>
      </c>
      <c r="P2" s="34"/>
      <c r="Q2" s="34"/>
      <c r="R2" s="34" t="s">
        <v>2</v>
      </c>
      <c r="S2" s="34" t="s">
        <v>3</v>
      </c>
      <c r="T2" s="34" t="s">
        <v>4</v>
      </c>
      <c r="U2" s="34" t="s">
        <v>5</v>
      </c>
      <c r="V2" s="34" t="s">
        <v>202</v>
      </c>
      <c r="W2" s="34" t="s">
        <v>203</v>
      </c>
      <c r="X2" s="34"/>
      <c r="Y2" s="34" t="s">
        <v>2</v>
      </c>
      <c r="Z2" s="34" t="s">
        <v>3</v>
      </c>
      <c r="AA2" s="34" t="s">
        <v>4</v>
      </c>
      <c r="AB2" s="34" t="s">
        <v>5</v>
      </c>
      <c r="AC2" s="34" t="s">
        <v>202</v>
      </c>
      <c r="AD2" s="34" t="s">
        <v>203</v>
      </c>
      <c r="AE2" s="34"/>
    </row>
    <row r="3" spans="1:31" ht="15.75" customHeight="1" x14ac:dyDescent="0.15">
      <c r="A3" s="35" t="str">
        <f ca="1">IFERROR(__xludf.DUMMYFUNCTION("QUERY(Numbers!A3:Y61,""SELECT A, B, X, K order by X DESC"")"),"ch")</f>
        <v>ch</v>
      </c>
      <c r="B3" s="36" t="str">
        <f ca="1">IFERROR(__xludf.DUMMYFUNCTION("""COMPUTED_VALUE"""),"Switzerland")</f>
        <v>Switzerland</v>
      </c>
      <c r="C3" s="200">
        <f ca="1">IFERROR(__xludf.DUMMYFUNCTION("""COMPUTED_VALUE"""),65.66)</f>
        <v>65.66</v>
      </c>
      <c r="D3" s="201"/>
      <c r="E3" s="201"/>
      <c r="F3" s="202"/>
      <c r="G3" s="37" t="e">
        <f ca="1">VLOOKUP(A3,#REF!,11,0)</f>
        <v>#REF!</v>
      </c>
      <c r="H3" s="38"/>
      <c r="I3" s="39" t="str">
        <f ca="1">IFERROR(__xludf.DUMMYFUNCTION("QUERY(Numbers!A3:Y61,""SELECT A, B, X, K order by X DESC"")"),"ch")</f>
        <v>ch</v>
      </c>
      <c r="J3" s="40" t="str">
        <f ca="1">IFERROR(__xludf.DUMMYFUNCTION("""COMPUTED_VALUE"""),"Switzerland")</f>
        <v>Switzerland</v>
      </c>
      <c r="K3" s="215">
        <f ca="1">IFERROR(__xludf.DUMMYFUNCTION("""COMPUTED_VALUE"""),65.66)</f>
        <v>65.66</v>
      </c>
      <c r="L3" s="216"/>
      <c r="M3" s="216"/>
      <c r="N3" s="216"/>
      <c r="O3" s="41" t="e">
        <f ca="1">VLOOKUP(A3,#REF!,11,0)</f>
        <v>#REF!</v>
      </c>
      <c r="P3" s="38"/>
      <c r="Q3" s="38"/>
      <c r="R3" s="42" t="e">
        <f ca="1">VLOOKUP(A3,#REF!,19,0)</f>
        <v>#REF!</v>
      </c>
      <c r="S3" s="42" t="e">
        <f ca="1">VLOOKUP(A3,#REF!,20,0)</f>
        <v>#REF!</v>
      </c>
      <c r="T3" s="42" t="e">
        <f ca="1">VLOOKUP(A3,#REF!,21,0)</f>
        <v>#REF!</v>
      </c>
      <c r="U3" s="42" t="e">
        <f ca="1">VLOOKUP(A3,#REF!,22,0)</f>
        <v>#REF!</v>
      </c>
      <c r="V3" s="42" t="e">
        <f ca="1">VLOOKUP(A3,#REF!,23,0)</f>
        <v>#REF!</v>
      </c>
      <c r="W3" s="42" t="e">
        <f t="shared" ref="W3:W61" ca="1" si="0">SUM(R3:V3)</f>
        <v>#REF!</v>
      </c>
      <c r="X3" s="43"/>
      <c r="Y3" s="44" t="e">
        <f t="shared" ref="Y3:AC3" ca="1" si="1">R3/$W3*$AD3</f>
        <v>#REF!</v>
      </c>
      <c r="Z3" s="44" t="e">
        <f t="shared" ca="1" si="1"/>
        <v>#REF!</v>
      </c>
      <c r="AA3" s="44" t="e">
        <f t="shared" ca="1" si="1"/>
        <v>#REF!</v>
      </c>
      <c r="AB3" s="44" t="e">
        <f t="shared" ca="1" si="1"/>
        <v>#REF!</v>
      </c>
      <c r="AC3" s="44" t="e">
        <f t="shared" ca="1" si="1"/>
        <v>#REF!</v>
      </c>
      <c r="AD3" s="44" t="e">
        <f t="shared" ref="AD3:AD61" ca="1" si="2">W3/MAX(W$3:W$62)*$Z$1</f>
        <v>#REF!</v>
      </c>
      <c r="AE3" s="38"/>
    </row>
    <row r="4" spans="1:31" ht="15.75" customHeight="1" x14ac:dyDescent="0.15">
      <c r="A4" s="35" t="str">
        <f ca="1">IFERROR(__xludf.DUMMYFUNCTION("""COMPUTED_VALUE"""),"us")</f>
        <v>us</v>
      </c>
      <c r="B4" s="36" t="str">
        <f ca="1">IFERROR(__xludf.DUMMYFUNCTION("""COMPUTED_VALUE"""),"United States")</f>
        <v>United States</v>
      </c>
      <c r="C4" s="200">
        <f ca="1">IFERROR(__xludf.DUMMYFUNCTION("""COMPUTED_VALUE"""),61.79)</f>
        <v>61.79</v>
      </c>
      <c r="D4" s="201"/>
      <c r="E4" s="201"/>
      <c r="F4" s="202"/>
      <c r="G4" s="37" t="e">
        <f ca="1">VLOOKUP(A4,#REF!,11,0)</f>
        <v>#REF!</v>
      </c>
      <c r="H4" s="38"/>
      <c r="I4" s="45" t="str">
        <f ca="1">IFERROR(__xludf.DUMMYFUNCTION("""COMPUTED_VALUE"""),"us")</f>
        <v>us</v>
      </c>
      <c r="J4" s="38" t="str">
        <f ca="1">IFERROR(__xludf.DUMMYFUNCTION("""COMPUTED_VALUE"""),"United States")</f>
        <v>United States</v>
      </c>
      <c r="K4" s="204">
        <f ca="1">IFERROR(__xludf.DUMMYFUNCTION("""COMPUTED_VALUE"""),61.79)</f>
        <v>61.79</v>
      </c>
      <c r="L4" s="199"/>
      <c r="M4" s="199"/>
      <c r="N4" s="199"/>
      <c r="O4" s="46" t="e">
        <f ca="1">VLOOKUP(A4,#REF!,11,0)</f>
        <v>#REF!</v>
      </c>
      <c r="P4" s="38"/>
      <c r="Q4" s="38"/>
      <c r="R4" s="42" t="e">
        <f ca="1">VLOOKUP(A4,#REF!,19,0)</f>
        <v>#REF!</v>
      </c>
      <c r="S4" s="42" t="e">
        <f ca="1">VLOOKUP(A4,#REF!,20,0)</f>
        <v>#REF!</v>
      </c>
      <c r="T4" s="42" t="e">
        <f ca="1">VLOOKUP(A4,#REF!,21,0)</f>
        <v>#REF!</v>
      </c>
      <c r="U4" s="42" t="e">
        <f ca="1">VLOOKUP(A4,#REF!,22,0)</f>
        <v>#REF!</v>
      </c>
      <c r="V4" s="42" t="e">
        <f ca="1">VLOOKUP(A4,#REF!,23,0)</f>
        <v>#REF!</v>
      </c>
      <c r="W4" s="42" t="e">
        <f t="shared" ca="1" si="0"/>
        <v>#REF!</v>
      </c>
      <c r="X4" s="43"/>
      <c r="Y4" s="44" t="e">
        <f t="shared" ref="Y4:AC4" ca="1" si="3">R4/$W4*$AD4</f>
        <v>#REF!</v>
      </c>
      <c r="Z4" s="44" t="e">
        <f t="shared" ca="1" si="3"/>
        <v>#REF!</v>
      </c>
      <c r="AA4" s="44" t="e">
        <f t="shared" ca="1" si="3"/>
        <v>#REF!</v>
      </c>
      <c r="AB4" s="44" t="e">
        <f t="shared" ca="1" si="3"/>
        <v>#REF!</v>
      </c>
      <c r="AC4" s="44" t="e">
        <f t="shared" ca="1" si="3"/>
        <v>#REF!</v>
      </c>
      <c r="AD4" s="44" t="e">
        <f t="shared" ca="1" si="2"/>
        <v>#REF!</v>
      </c>
      <c r="AE4" s="47"/>
    </row>
    <row r="5" spans="1:31" ht="15.75" customHeight="1" x14ac:dyDescent="0.15">
      <c r="A5" s="35" t="str">
        <f ca="1">IFERROR(__xludf.DUMMYFUNCTION("""COMPUTED_VALUE"""),"uk")</f>
        <v>uk</v>
      </c>
      <c r="B5" s="36" t="str">
        <f ca="1">IFERROR(__xludf.DUMMYFUNCTION("""COMPUTED_VALUE"""),"United Kingdom")</f>
        <v>United Kingdom</v>
      </c>
      <c r="C5" s="200">
        <f ca="1">IFERROR(__xludf.DUMMYFUNCTION("""COMPUTED_VALUE"""),52.13)</f>
        <v>52.13</v>
      </c>
      <c r="D5" s="201"/>
      <c r="E5" s="201"/>
      <c r="F5" s="202"/>
      <c r="G5" s="37" t="e">
        <f ca="1">VLOOKUP(A5,#REF!,11,0)</f>
        <v>#REF!</v>
      </c>
      <c r="H5" s="38"/>
      <c r="I5" s="45" t="str">
        <f ca="1">IFERROR(__xludf.DUMMYFUNCTION("""COMPUTED_VALUE"""),"uk")</f>
        <v>uk</v>
      </c>
      <c r="J5" s="38" t="str">
        <f ca="1">IFERROR(__xludf.DUMMYFUNCTION("""COMPUTED_VALUE"""),"United Kingdom")</f>
        <v>United Kingdom</v>
      </c>
      <c r="K5" s="204">
        <f ca="1">IFERROR(__xludf.DUMMYFUNCTION("""COMPUTED_VALUE"""),52.13)</f>
        <v>52.13</v>
      </c>
      <c r="L5" s="199"/>
      <c r="M5" s="199"/>
      <c r="N5" s="199"/>
      <c r="O5" s="46" t="e">
        <f ca="1">VLOOKUP(A5,#REF!,11,0)</f>
        <v>#REF!</v>
      </c>
      <c r="P5" s="38"/>
      <c r="Q5" s="38"/>
      <c r="R5" s="42" t="e">
        <f ca="1">VLOOKUP(A5,#REF!,19,0)</f>
        <v>#REF!</v>
      </c>
      <c r="S5" s="42" t="e">
        <f ca="1">VLOOKUP(A5,#REF!,20,0)</f>
        <v>#REF!</v>
      </c>
      <c r="T5" s="42" t="e">
        <f ca="1">VLOOKUP(A5,#REF!,21,0)</f>
        <v>#REF!</v>
      </c>
      <c r="U5" s="42" t="e">
        <f ca="1">VLOOKUP(A5,#REF!,22,0)</f>
        <v>#REF!</v>
      </c>
      <c r="V5" s="42" t="e">
        <f ca="1">VLOOKUP(A5,#REF!,23,0)</f>
        <v>#REF!</v>
      </c>
      <c r="W5" s="42" t="e">
        <f t="shared" ca="1" si="0"/>
        <v>#REF!</v>
      </c>
      <c r="X5" s="43"/>
      <c r="Y5" s="44" t="e">
        <f t="shared" ref="Y5:AC5" ca="1" si="4">R5/$W5*$AD5</f>
        <v>#REF!</v>
      </c>
      <c r="Z5" s="44" t="e">
        <f t="shared" ca="1" si="4"/>
        <v>#REF!</v>
      </c>
      <c r="AA5" s="44" t="e">
        <f t="shared" ca="1" si="4"/>
        <v>#REF!</v>
      </c>
      <c r="AB5" s="44" t="e">
        <f t="shared" ca="1" si="4"/>
        <v>#REF!</v>
      </c>
      <c r="AC5" s="44" t="e">
        <f t="shared" ca="1" si="4"/>
        <v>#REF!</v>
      </c>
      <c r="AD5" s="44" t="e">
        <f t="shared" ca="1" si="2"/>
        <v>#REF!</v>
      </c>
      <c r="AE5" s="38"/>
    </row>
    <row r="6" spans="1:31" ht="15.75" customHeight="1" x14ac:dyDescent="0.15">
      <c r="A6" s="35" t="str">
        <f ca="1">IFERROR(__xludf.DUMMYFUNCTION("""COMPUTED_VALUE"""),"at")</f>
        <v>at</v>
      </c>
      <c r="B6" s="36" t="str">
        <f ca="1">IFERROR(__xludf.DUMMYFUNCTION("""COMPUTED_VALUE"""),"Austria")</f>
        <v>Austria</v>
      </c>
      <c r="C6" s="200">
        <f ca="1">IFERROR(__xludf.DUMMYFUNCTION("""COMPUTED_VALUE"""),51.17)</f>
        <v>51.17</v>
      </c>
      <c r="D6" s="201"/>
      <c r="E6" s="201"/>
      <c r="F6" s="202"/>
      <c r="G6" s="37" t="e">
        <f ca="1">VLOOKUP(A6,#REF!,11,0)</f>
        <v>#REF!</v>
      </c>
      <c r="H6" s="38"/>
      <c r="I6" s="45" t="str">
        <f ca="1">IFERROR(__xludf.DUMMYFUNCTION("""COMPUTED_VALUE"""),"at")</f>
        <v>at</v>
      </c>
      <c r="J6" s="38" t="str">
        <f ca="1">IFERROR(__xludf.DUMMYFUNCTION("""COMPUTED_VALUE"""),"Austria")</f>
        <v>Austria</v>
      </c>
      <c r="K6" s="204">
        <f ca="1">IFERROR(__xludf.DUMMYFUNCTION("""COMPUTED_VALUE"""),51.17)</f>
        <v>51.17</v>
      </c>
      <c r="L6" s="199"/>
      <c r="M6" s="199"/>
      <c r="N6" s="199"/>
      <c r="O6" s="46" t="e">
        <f ca="1">VLOOKUP(A6,#REF!,11,0)</f>
        <v>#REF!</v>
      </c>
      <c r="P6" s="38"/>
      <c r="Q6" s="38"/>
      <c r="R6" s="42" t="e">
        <f ca="1">VLOOKUP(A6,#REF!,19,0)</f>
        <v>#REF!</v>
      </c>
      <c r="S6" s="42" t="e">
        <f ca="1">VLOOKUP(A6,#REF!,20,0)</f>
        <v>#REF!</v>
      </c>
      <c r="T6" s="42" t="e">
        <f ca="1">VLOOKUP(A6,#REF!,21,0)</f>
        <v>#REF!</v>
      </c>
      <c r="U6" s="42" t="e">
        <f ca="1">VLOOKUP(A6,#REF!,22,0)</f>
        <v>#REF!</v>
      </c>
      <c r="V6" s="42" t="e">
        <f ca="1">VLOOKUP(A6,#REF!,23,0)</f>
        <v>#REF!</v>
      </c>
      <c r="W6" s="42" t="e">
        <f t="shared" ca="1" si="0"/>
        <v>#REF!</v>
      </c>
      <c r="X6" s="43"/>
      <c r="Y6" s="44" t="e">
        <f t="shared" ref="Y6:AC6" ca="1" si="5">R6/$W6*$AD6</f>
        <v>#REF!</v>
      </c>
      <c r="Z6" s="44" t="e">
        <f t="shared" ca="1" si="5"/>
        <v>#REF!</v>
      </c>
      <c r="AA6" s="44" t="e">
        <f t="shared" ca="1" si="5"/>
        <v>#REF!</v>
      </c>
      <c r="AB6" s="44" t="e">
        <f t="shared" ca="1" si="5"/>
        <v>#REF!</v>
      </c>
      <c r="AC6" s="44" t="e">
        <f t="shared" ca="1" si="5"/>
        <v>#REF!</v>
      </c>
      <c r="AD6" s="44" t="e">
        <f t="shared" ca="1" si="2"/>
        <v>#REF!</v>
      </c>
      <c r="AE6" s="38"/>
    </row>
    <row r="7" spans="1:31" ht="15.75" customHeight="1" x14ac:dyDescent="0.15">
      <c r="A7" s="35" t="str">
        <f ca="1">IFERROR(__xludf.DUMMYFUNCTION("""COMPUTED_VALUE"""),"de")</f>
        <v>de</v>
      </c>
      <c r="B7" s="36" t="str">
        <f ca="1">IFERROR(__xludf.DUMMYFUNCTION("""COMPUTED_VALUE"""),"Germany")</f>
        <v>Germany</v>
      </c>
      <c r="C7" s="200">
        <f ca="1">IFERROR(__xludf.DUMMYFUNCTION("""COMPUTED_VALUE"""),51.17)</f>
        <v>51.17</v>
      </c>
      <c r="D7" s="201"/>
      <c r="E7" s="201"/>
      <c r="F7" s="202"/>
      <c r="G7" s="37" t="e">
        <f ca="1">VLOOKUP(A7,#REF!,11,0)</f>
        <v>#REF!</v>
      </c>
      <c r="H7" s="38"/>
      <c r="I7" s="45" t="str">
        <f ca="1">IFERROR(__xludf.DUMMYFUNCTION("""COMPUTED_VALUE"""),"de")</f>
        <v>de</v>
      </c>
      <c r="J7" s="38" t="str">
        <f ca="1">IFERROR(__xludf.DUMMYFUNCTION("""COMPUTED_VALUE"""),"Germany")</f>
        <v>Germany</v>
      </c>
      <c r="K7" s="204">
        <f ca="1">IFERROR(__xludf.DUMMYFUNCTION("""COMPUTED_VALUE"""),51.17)</f>
        <v>51.17</v>
      </c>
      <c r="L7" s="199"/>
      <c r="M7" s="199"/>
      <c r="N7" s="199"/>
      <c r="O7" s="46" t="e">
        <f ca="1">VLOOKUP(A7,#REF!,11,0)</f>
        <v>#REF!</v>
      </c>
      <c r="P7" s="38"/>
      <c r="Q7" s="38"/>
      <c r="R7" s="42" t="e">
        <f ca="1">VLOOKUP(A7,#REF!,19,0)</f>
        <v>#REF!</v>
      </c>
      <c r="S7" s="42" t="e">
        <f ca="1">VLOOKUP(A7,#REF!,20,0)</f>
        <v>#REF!</v>
      </c>
      <c r="T7" s="42" t="e">
        <f ca="1">VLOOKUP(A7,#REF!,21,0)</f>
        <v>#REF!</v>
      </c>
      <c r="U7" s="42" t="e">
        <f ca="1">VLOOKUP(A7,#REF!,22,0)</f>
        <v>#REF!</v>
      </c>
      <c r="V7" s="42" t="e">
        <f ca="1">VLOOKUP(A7,#REF!,23,0)</f>
        <v>#REF!</v>
      </c>
      <c r="W7" s="42" t="e">
        <f t="shared" ca="1" si="0"/>
        <v>#REF!</v>
      </c>
      <c r="X7" s="43"/>
      <c r="Y7" s="44" t="e">
        <f t="shared" ref="Y7:AC7" ca="1" si="6">R7/$W7*$AD7</f>
        <v>#REF!</v>
      </c>
      <c r="Z7" s="44" t="e">
        <f t="shared" ca="1" si="6"/>
        <v>#REF!</v>
      </c>
      <c r="AA7" s="44" t="e">
        <f t="shared" ca="1" si="6"/>
        <v>#REF!</v>
      </c>
      <c r="AB7" s="44" t="e">
        <f t="shared" ca="1" si="6"/>
        <v>#REF!</v>
      </c>
      <c r="AC7" s="44" t="e">
        <f t="shared" ca="1" si="6"/>
        <v>#REF!</v>
      </c>
      <c r="AD7" s="44" t="e">
        <f t="shared" ca="1" si="2"/>
        <v>#REF!</v>
      </c>
      <c r="AE7" s="38"/>
    </row>
    <row r="8" spans="1:31" ht="15.75" customHeight="1" x14ac:dyDescent="0.15">
      <c r="A8" s="35" t="str">
        <f ca="1">IFERROR(__xludf.DUMMYFUNCTION("""COMPUTED_VALUE"""),"ie")</f>
        <v>ie</v>
      </c>
      <c r="B8" s="36" t="str">
        <f ca="1">IFERROR(__xludf.DUMMYFUNCTION("""COMPUTED_VALUE"""),"Ireland")</f>
        <v>Ireland</v>
      </c>
      <c r="C8" s="200">
        <f ca="1">IFERROR(__xludf.DUMMYFUNCTION("""COMPUTED_VALUE"""),51.17)</f>
        <v>51.17</v>
      </c>
      <c r="D8" s="201"/>
      <c r="E8" s="201"/>
      <c r="F8" s="202"/>
      <c r="G8" s="37" t="e">
        <f ca="1">VLOOKUP(A8,#REF!,11,0)</f>
        <v>#REF!</v>
      </c>
      <c r="H8" s="38"/>
      <c r="I8" s="45" t="str">
        <f ca="1">IFERROR(__xludf.DUMMYFUNCTION("""COMPUTED_VALUE"""),"ie")</f>
        <v>ie</v>
      </c>
      <c r="J8" s="38" t="str">
        <f ca="1">IFERROR(__xludf.DUMMYFUNCTION("""COMPUTED_VALUE"""),"Ireland")</f>
        <v>Ireland</v>
      </c>
      <c r="K8" s="204">
        <f ca="1">IFERROR(__xludf.DUMMYFUNCTION("""COMPUTED_VALUE"""),51.17)</f>
        <v>51.17</v>
      </c>
      <c r="L8" s="199"/>
      <c r="M8" s="199"/>
      <c r="N8" s="199"/>
      <c r="O8" s="46" t="e">
        <f ca="1">VLOOKUP(A8,#REF!,11,0)</f>
        <v>#REF!</v>
      </c>
      <c r="P8" s="38"/>
      <c r="Q8" s="38"/>
      <c r="R8" s="42" t="e">
        <f ca="1">VLOOKUP(A8,#REF!,19,0)</f>
        <v>#REF!</v>
      </c>
      <c r="S8" s="42" t="e">
        <f ca="1">VLOOKUP(A8,#REF!,20,0)</f>
        <v>#REF!</v>
      </c>
      <c r="T8" s="42" t="e">
        <f ca="1">VLOOKUP(A8,#REF!,21,0)</f>
        <v>#REF!</v>
      </c>
      <c r="U8" s="42" t="e">
        <f ca="1">VLOOKUP(A8,#REF!,22,0)</f>
        <v>#REF!</v>
      </c>
      <c r="V8" s="42" t="e">
        <f ca="1">VLOOKUP(A8,#REF!,23,0)</f>
        <v>#REF!</v>
      </c>
      <c r="W8" s="42" t="e">
        <f t="shared" ca="1" si="0"/>
        <v>#REF!</v>
      </c>
      <c r="X8" s="43"/>
      <c r="Y8" s="44" t="e">
        <f t="shared" ref="Y8:AC8" ca="1" si="7">R8/$W8*$AD8</f>
        <v>#REF!</v>
      </c>
      <c r="Z8" s="44" t="e">
        <f t="shared" ca="1" si="7"/>
        <v>#REF!</v>
      </c>
      <c r="AA8" s="44" t="e">
        <f t="shared" ca="1" si="7"/>
        <v>#REF!</v>
      </c>
      <c r="AB8" s="44" t="e">
        <f t="shared" ca="1" si="7"/>
        <v>#REF!</v>
      </c>
      <c r="AC8" s="44" t="e">
        <f t="shared" ca="1" si="7"/>
        <v>#REF!</v>
      </c>
      <c r="AD8" s="44" t="e">
        <f t="shared" ca="1" si="2"/>
        <v>#REF!</v>
      </c>
      <c r="AE8" s="38"/>
    </row>
    <row r="9" spans="1:31" ht="15.75" customHeight="1" x14ac:dyDescent="0.15">
      <c r="A9" s="35" t="str">
        <f ca="1">IFERROR(__xludf.DUMMYFUNCTION("""COMPUTED_VALUE"""),"fr")</f>
        <v>fr</v>
      </c>
      <c r="B9" s="36" t="str">
        <f ca="1">IFERROR(__xludf.DUMMYFUNCTION("""COMPUTED_VALUE"""),"France")</f>
        <v>France</v>
      </c>
      <c r="C9" s="200">
        <f ca="1">IFERROR(__xludf.DUMMYFUNCTION("""COMPUTED_VALUE"""),49.67)</f>
        <v>49.67</v>
      </c>
      <c r="D9" s="201"/>
      <c r="E9" s="201"/>
      <c r="F9" s="202"/>
      <c r="G9" s="37" t="e">
        <f ca="1">VLOOKUP(A9,#REF!,11,0)</f>
        <v>#REF!</v>
      </c>
      <c r="H9" s="38"/>
      <c r="I9" s="45" t="str">
        <f ca="1">IFERROR(__xludf.DUMMYFUNCTION("""COMPUTED_VALUE"""),"fr")</f>
        <v>fr</v>
      </c>
      <c r="J9" s="38" t="str">
        <f ca="1">IFERROR(__xludf.DUMMYFUNCTION("""COMPUTED_VALUE"""),"France")</f>
        <v>France</v>
      </c>
      <c r="K9" s="204">
        <f ca="1">IFERROR(__xludf.DUMMYFUNCTION("""COMPUTED_VALUE"""),49.67)</f>
        <v>49.67</v>
      </c>
      <c r="L9" s="199"/>
      <c r="M9" s="199"/>
      <c r="N9" s="199"/>
      <c r="O9" s="46" t="e">
        <f ca="1">VLOOKUP(A9,#REF!,11,0)</f>
        <v>#REF!</v>
      </c>
      <c r="P9" s="38"/>
      <c r="Q9" s="38"/>
      <c r="R9" s="42" t="e">
        <f ca="1">VLOOKUP(A9,#REF!,19,0)</f>
        <v>#REF!</v>
      </c>
      <c r="S9" s="42" t="e">
        <f ca="1">VLOOKUP(A9,#REF!,20,0)</f>
        <v>#REF!</v>
      </c>
      <c r="T9" s="42" t="e">
        <f ca="1">VLOOKUP(A9,#REF!,21,0)</f>
        <v>#REF!</v>
      </c>
      <c r="U9" s="42" t="e">
        <f ca="1">VLOOKUP(A9,#REF!,22,0)</f>
        <v>#REF!</v>
      </c>
      <c r="V9" s="42" t="e">
        <f ca="1">VLOOKUP(A9,#REF!,23,0)</f>
        <v>#REF!</v>
      </c>
      <c r="W9" s="42" t="e">
        <f t="shared" ca="1" si="0"/>
        <v>#REF!</v>
      </c>
      <c r="X9" s="43"/>
      <c r="Y9" s="44" t="e">
        <f t="shared" ref="Y9:AC9" ca="1" si="8">R9/$W9*$AD9</f>
        <v>#REF!</v>
      </c>
      <c r="Z9" s="44" t="e">
        <f t="shared" ca="1" si="8"/>
        <v>#REF!</v>
      </c>
      <c r="AA9" s="44" t="e">
        <f t="shared" ca="1" si="8"/>
        <v>#REF!</v>
      </c>
      <c r="AB9" s="44" t="e">
        <f t="shared" ca="1" si="8"/>
        <v>#REF!</v>
      </c>
      <c r="AC9" s="44" t="e">
        <f t="shared" ca="1" si="8"/>
        <v>#REF!</v>
      </c>
      <c r="AD9" s="44" t="e">
        <f t="shared" ca="1" si="2"/>
        <v>#REF!</v>
      </c>
      <c r="AE9" s="38"/>
    </row>
    <row r="10" spans="1:31" ht="15.75" customHeight="1" x14ac:dyDescent="0.15">
      <c r="A10" s="35" t="str">
        <f ca="1">IFERROR(__xludf.DUMMYFUNCTION("""COMPUTED_VALUE"""),"fi")</f>
        <v>fi</v>
      </c>
      <c r="B10" s="36" t="str">
        <f ca="1">IFERROR(__xludf.DUMMYFUNCTION("""COMPUTED_VALUE"""),"Finland")</f>
        <v>Finland</v>
      </c>
      <c r="C10" s="200">
        <f ca="1">IFERROR(__xludf.DUMMYFUNCTION("""COMPUTED_VALUE"""),49.17)</f>
        <v>49.17</v>
      </c>
      <c r="D10" s="201"/>
      <c r="E10" s="201"/>
      <c r="F10" s="202"/>
      <c r="G10" s="37" t="e">
        <f ca="1">VLOOKUP(A10,#REF!,11,0)</f>
        <v>#REF!</v>
      </c>
      <c r="H10" s="38"/>
      <c r="I10" s="45" t="str">
        <f ca="1">IFERROR(__xludf.DUMMYFUNCTION("""COMPUTED_VALUE"""),"fi")</f>
        <v>fi</v>
      </c>
      <c r="J10" s="38" t="str">
        <f ca="1">IFERROR(__xludf.DUMMYFUNCTION("""COMPUTED_VALUE"""),"Finland")</f>
        <v>Finland</v>
      </c>
      <c r="K10" s="204">
        <f ca="1">IFERROR(__xludf.DUMMYFUNCTION("""COMPUTED_VALUE"""),49.17)</f>
        <v>49.17</v>
      </c>
      <c r="L10" s="199"/>
      <c r="M10" s="199"/>
      <c r="N10" s="199"/>
      <c r="O10" s="46" t="e">
        <f ca="1">VLOOKUP(A10,#REF!,11,0)</f>
        <v>#REF!</v>
      </c>
      <c r="P10" s="38"/>
      <c r="Q10" s="38"/>
      <c r="R10" s="42" t="e">
        <f ca="1">VLOOKUP(A10,#REF!,19,0)</f>
        <v>#REF!</v>
      </c>
      <c r="S10" s="42" t="e">
        <f ca="1">VLOOKUP(A10,#REF!,20,0)</f>
        <v>#REF!</v>
      </c>
      <c r="T10" s="42" t="e">
        <f ca="1">VLOOKUP(A10,#REF!,21,0)</f>
        <v>#REF!</v>
      </c>
      <c r="U10" s="42" t="e">
        <f ca="1">VLOOKUP(A10,#REF!,22,0)</f>
        <v>#REF!</v>
      </c>
      <c r="V10" s="42" t="e">
        <f ca="1">VLOOKUP(A10,#REF!,23,0)</f>
        <v>#REF!</v>
      </c>
      <c r="W10" s="42" t="e">
        <f t="shared" ca="1" si="0"/>
        <v>#REF!</v>
      </c>
      <c r="X10" s="43"/>
      <c r="Y10" s="44" t="e">
        <f t="shared" ref="Y10:AC10" ca="1" si="9">R10/$W10*$AD10</f>
        <v>#REF!</v>
      </c>
      <c r="Z10" s="44" t="e">
        <f t="shared" ca="1" si="9"/>
        <v>#REF!</v>
      </c>
      <c r="AA10" s="44" t="e">
        <f t="shared" ca="1" si="9"/>
        <v>#REF!</v>
      </c>
      <c r="AB10" s="44" t="e">
        <f t="shared" ca="1" si="9"/>
        <v>#REF!</v>
      </c>
      <c r="AC10" s="44" t="e">
        <f t="shared" ca="1" si="9"/>
        <v>#REF!</v>
      </c>
      <c r="AD10" s="44" t="e">
        <f t="shared" ca="1" si="2"/>
        <v>#REF!</v>
      </c>
      <c r="AE10" s="38"/>
    </row>
    <row r="11" spans="1:31" ht="15.75" customHeight="1" x14ac:dyDescent="0.15">
      <c r="A11" s="35" t="str">
        <f ca="1">IFERROR(__xludf.DUMMYFUNCTION("""COMPUTED_VALUE"""),"es")</f>
        <v>es</v>
      </c>
      <c r="B11" s="36" t="str">
        <f ca="1">IFERROR(__xludf.DUMMYFUNCTION("""COMPUTED_VALUE"""),"Spain")</f>
        <v>Spain</v>
      </c>
      <c r="C11" s="200">
        <f ca="1">IFERROR(__xludf.DUMMYFUNCTION("""COMPUTED_VALUE"""),48.17)</f>
        <v>48.17</v>
      </c>
      <c r="D11" s="201"/>
      <c r="E11" s="201"/>
      <c r="F11" s="202"/>
      <c r="G11" s="37" t="e">
        <f ca="1">VLOOKUP(A11,#REF!,11,0)</f>
        <v>#REF!</v>
      </c>
      <c r="H11" s="38"/>
      <c r="I11" s="45" t="str">
        <f ca="1">IFERROR(__xludf.DUMMYFUNCTION("""COMPUTED_VALUE"""),"es")</f>
        <v>es</v>
      </c>
      <c r="J11" s="38" t="str">
        <f ca="1">IFERROR(__xludf.DUMMYFUNCTION("""COMPUTED_VALUE"""),"Spain")</f>
        <v>Spain</v>
      </c>
      <c r="K11" s="204">
        <f ca="1">IFERROR(__xludf.DUMMYFUNCTION("""COMPUTED_VALUE"""),48.17)</f>
        <v>48.17</v>
      </c>
      <c r="L11" s="199"/>
      <c r="M11" s="199"/>
      <c r="N11" s="199"/>
      <c r="O11" s="46" t="e">
        <f ca="1">VLOOKUP(A11,#REF!,11,0)</f>
        <v>#REF!</v>
      </c>
      <c r="P11" s="38"/>
      <c r="Q11" s="38"/>
      <c r="R11" s="42" t="e">
        <f ca="1">VLOOKUP(A11,#REF!,19,0)</f>
        <v>#REF!</v>
      </c>
      <c r="S11" s="42" t="e">
        <f ca="1">VLOOKUP(A11,#REF!,20,0)</f>
        <v>#REF!</v>
      </c>
      <c r="T11" s="42" t="e">
        <f ca="1">VLOOKUP(A11,#REF!,21,0)</f>
        <v>#REF!</v>
      </c>
      <c r="U11" s="42" t="e">
        <f ca="1">VLOOKUP(A11,#REF!,22,0)</f>
        <v>#REF!</v>
      </c>
      <c r="V11" s="42" t="e">
        <f ca="1">VLOOKUP(A11,#REF!,23,0)</f>
        <v>#REF!</v>
      </c>
      <c r="W11" s="42" t="e">
        <f t="shared" ca="1" si="0"/>
        <v>#REF!</v>
      </c>
      <c r="X11" s="43"/>
      <c r="Y11" s="44" t="e">
        <f t="shared" ref="Y11:AC11" ca="1" si="10">R11/$W11*$AD11</f>
        <v>#REF!</v>
      </c>
      <c r="Z11" s="44" t="e">
        <f t="shared" ca="1" si="10"/>
        <v>#REF!</v>
      </c>
      <c r="AA11" s="44" t="e">
        <f t="shared" ca="1" si="10"/>
        <v>#REF!</v>
      </c>
      <c r="AB11" s="44" t="e">
        <f t="shared" ca="1" si="10"/>
        <v>#REF!</v>
      </c>
      <c r="AC11" s="44" t="e">
        <f t="shared" ca="1" si="10"/>
        <v>#REF!</v>
      </c>
      <c r="AD11" s="44" t="e">
        <f t="shared" ca="1" si="2"/>
        <v>#REF!</v>
      </c>
      <c r="AE11" s="38"/>
    </row>
    <row r="12" spans="1:31" ht="15.75" customHeight="1" x14ac:dyDescent="0.15">
      <c r="A12" s="35" t="str">
        <f ca="1">IFERROR(__xludf.DUMMYFUNCTION("""COMPUTED_VALUE"""),"it")</f>
        <v>it</v>
      </c>
      <c r="B12" s="36" t="str">
        <f ca="1">IFERROR(__xludf.DUMMYFUNCTION("""COMPUTED_VALUE"""),"Italy")</f>
        <v>Italy</v>
      </c>
      <c r="C12" s="200">
        <f ca="1">IFERROR(__xludf.DUMMYFUNCTION("""COMPUTED_VALUE"""),48.17)</f>
        <v>48.17</v>
      </c>
      <c r="D12" s="201"/>
      <c r="E12" s="201"/>
      <c r="F12" s="202"/>
      <c r="G12" s="37" t="e">
        <f ca="1">VLOOKUP(A12,#REF!,11,0)</f>
        <v>#REF!</v>
      </c>
      <c r="H12" s="38"/>
      <c r="I12" s="45" t="str">
        <f ca="1">IFERROR(__xludf.DUMMYFUNCTION("""COMPUTED_VALUE"""),"it")</f>
        <v>it</v>
      </c>
      <c r="J12" s="38" t="str">
        <f ca="1">IFERROR(__xludf.DUMMYFUNCTION("""COMPUTED_VALUE"""),"Italy")</f>
        <v>Italy</v>
      </c>
      <c r="K12" s="204">
        <f ca="1">IFERROR(__xludf.DUMMYFUNCTION("""COMPUTED_VALUE"""),48.17)</f>
        <v>48.17</v>
      </c>
      <c r="L12" s="199"/>
      <c r="M12" s="199"/>
      <c r="N12" s="199"/>
      <c r="O12" s="46" t="e">
        <f ca="1">VLOOKUP(A12,#REF!,11,0)</f>
        <v>#REF!</v>
      </c>
      <c r="P12" s="38"/>
      <c r="Q12" s="38"/>
      <c r="R12" s="42" t="e">
        <f ca="1">VLOOKUP(A12,#REF!,19,0)</f>
        <v>#REF!</v>
      </c>
      <c r="S12" s="42" t="e">
        <f ca="1">VLOOKUP(A12,#REF!,20,0)</f>
        <v>#REF!</v>
      </c>
      <c r="T12" s="42" t="e">
        <f ca="1">VLOOKUP(A12,#REF!,21,0)</f>
        <v>#REF!</v>
      </c>
      <c r="U12" s="42" t="e">
        <f ca="1">VLOOKUP(A12,#REF!,22,0)</f>
        <v>#REF!</v>
      </c>
      <c r="V12" s="42" t="e">
        <f ca="1">VLOOKUP(A12,#REF!,23,0)</f>
        <v>#REF!</v>
      </c>
      <c r="W12" s="42" t="e">
        <f t="shared" ca="1" si="0"/>
        <v>#REF!</v>
      </c>
      <c r="X12" s="43"/>
      <c r="Y12" s="44" t="e">
        <f t="shared" ref="Y12:AC12" ca="1" si="11">R12/$W12*$AD12</f>
        <v>#REF!</v>
      </c>
      <c r="Z12" s="44" t="e">
        <f t="shared" ca="1" si="11"/>
        <v>#REF!</v>
      </c>
      <c r="AA12" s="44" t="e">
        <f t="shared" ca="1" si="11"/>
        <v>#REF!</v>
      </c>
      <c r="AB12" s="44" t="e">
        <f t="shared" ca="1" si="11"/>
        <v>#REF!</v>
      </c>
      <c r="AC12" s="44" t="e">
        <f t="shared" ca="1" si="11"/>
        <v>#REF!</v>
      </c>
      <c r="AD12" s="44" t="e">
        <f t="shared" ca="1" si="2"/>
        <v>#REF!</v>
      </c>
      <c r="AE12" s="38"/>
    </row>
    <row r="13" spans="1:31" ht="15.75" customHeight="1" x14ac:dyDescent="0.15">
      <c r="A13" s="35" t="str">
        <f ca="1">IFERROR(__xludf.DUMMYFUNCTION("""COMPUTED_VALUE"""),"no")</f>
        <v>no</v>
      </c>
      <c r="B13" s="36" t="str">
        <f ca="1">IFERROR(__xludf.DUMMYFUNCTION("""COMPUTED_VALUE"""),"Norway")</f>
        <v>Norway</v>
      </c>
      <c r="C13" s="200">
        <f ca="1">IFERROR(__xludf.DUMMYFUNCTION("""COMPUTED_VALUE"""),47.64)</f>
        <v>47.64</v>
      </c>
      <c r="D13" s="201"/>
      <c r="E13" s="201"/>
      <c r="F13" s="202"/>
      <c r="G13" s="37" t="e">
        <f ca="1">VLOOKUP(A13,#REF!,11,0)</f>
        <v>#REF!</v>
      </c>
      <c r="H13" s="38"/>
      <c r="I13" s="45" t="str">
        <f ca="1">IFERROR(__xludf.DUMMYFUNCTION("""COMPUTED_VALUE"""),"no")</f>
        <v>no</v>
      </c>
      <c r="J13" s="38" t="str">
        <f ca="1">IFERROR(__xludf.DUMMYFUNCTION("""COMPUTED_VALUE"""),"Norway")</f>
        <v>Norway</v>
      </c>
      <c r="K13" s="204">
        <f ca="1">IFERROR(__xludf.DUMMYFUNCTION("""COMPUTED_VALUE"""),47.64)</f>
        <v>47.64</v>
      </c>
      <c r="L13" s="199"/>
      <c r="M13" s="199"/>
      <c r="N13" s="199"/>
      <c r="O13" s="46" t="e">
        <f ca="1">VLOOKUP(A13,#REF!,11,0)</f>
        <v>#REF!</v>
      </c>
      <c r="P13" s="38"/>
      <c r="Q13" s="38"/>
      <c r="R13" s="42" t="e">
        <f ca="1">VLOOKUP(A13,#REF!,19,0)</f>
        <v>#REF!</v>
      </c>
      <c r="S13" s="42" t="e">
        <f ca="1">VLOOKUP(A13,#REF!,20,0)</f>
        <v>#REF!</v>
      </c>
      <c r="T13" s="42" t="e">
        <f ca="1">VLOOKUP(A13,#REF!,21,0)</f>
        <v>#REF!</v>
      </c>
      <c r="U13" s="42" t="e">
        <f ca="1">VLOOKUP(A13,#REF!,22,0)</f>
        <v>#REF!</v>
      </c>
      <c r="V13" s="42" t="e">
        <f ca="1">VLOOKUP(A13,#REF!,23,0)</f>
        <v>#REF!</v>
      </c>
      <c r="W13" s="42" t="e">
        <f t="shared" ca="1" si="0"/>
        <v>#REF!</v>
      </c>
      <c r="X13" s="43"/>
      <c r="Y13" s="44" t="e">
        <f t="shared" ref="Y13:AC13" ca="1" si="12">R13/$W13*$AD13</f>
        <v>#REF!</v>
      </c>
      <c r="Z13" s="44" t="e">
        <f t="shared" ca="1" si="12"/>
        <v>#REF!</v>
      </c>
      <c r="AA13" s="44" t="e">
        <f t="shared" ca="1" si="12"/>
        <v>#REF!</v>
      </c>
      <c r="AB13" s="44" t="e">
        <f t="shared" ca="1" si="12"/>
        <v>#REF!</v>
      </c>
      <c r="AC13" s="44" t="e">
        <f t="shared" ca="1" si="12"/>
        <v>#REF!</v>
      </c>
      <c r="AD13" s="44" t="e">
        <f t="shared" ca="1" si="2"/>
        <v>#REF!</v>
      </c>
      <c r="AE13" s="38"/>
    </row>
    <row r="14" spans="1:31" ht="15.75" customHeight="1" x14ac:dyDescent="0.15">
      <c r="A14" s="35" t="str">
        <f ca="1">IFERROR(__xludf.DUMMYFUNCTION("""COMPUTED_VALUE"""),"se")</f>
        <v>se</v>
      </c>
      <c r="B14" s="36" t="str">
        <f ca="1">IFERROR(__xludf.DUMMYFUNCTION("""COMPUTED_VALUE"""),"Sweden")</f>
        <v>Sweden</v>
      </c>
      <c r="C14" s="200">
        <f ca="1">IFERROR(__xludf.DUMMYFUNCTION("""COMPUTED_VALUE"""),46.47)</f>
        <v>46.47</v>
      </c>
      <c r="D14" s="201"/>
      <c r="E14" s="201"/>
      <c r="F14" s="202"/>
      <c r="G14" s="37" t="e">
        <f ca="1">VLOOKUP(A14,#REF!,11,0)</f>
        <v>#REF!</v>
      </c>
      <c r="H14" s="38"/>
      <c r="I14" s="45" t="str">
        <f ca="1">IFERROR(__xludf.DUMMYFUNCTION("""COMPUTED_VALUE"""),"se")</f>
        <v>se</v>
      </c>
      <c r="J14" s="38" t="str">
        <f ca="1">IFERROR(__xludf.DUMMYFUNCTION("""COMPUTED_VALUE"""),"Sweden")</f>
        <v>Sweden</v>
      </c>
      <c r="K14" s="204">
        <f ca="1">IFERROR(__xludf.DUMMYFUNCTION("""COMPUTED_VALUE"""),46.47)</f>
        <v>46.47</v>
      </c>
      <c r="L14" s="199"/>
      <c r="M14" s="199"/>
      <c r="N14" s="199"/>
      <c r="O14" s="46" t="e">
        <f ca="1">VLOOKUP(A14,#REF!,11,0)</f>
        <v>#REF!</v>
      </c>
      <c r="P14" s="38"/>
      <c r="Q14" s="38"/>
      <c r="R14" s="42" t="e">
        <f ca="1">VLOOKUP(A14,#REF!,19,0)</f>
        <v>#REF!</v>
      </c>
      <c r="S14" s="42" t="e">
        <f ca="1">VLOOKUP(A14,#REF!,20,0)</f>
        <v>#REF!</v>
      </c>
      <c r="T14" s="42" t="e">
        <f ca="1">VLOOKUP(A14,#REF!,21,0)</f>
        <v>#REF!</v>
      </c>
      <c r="U14" s="42" t="e">
        <f ca="1">VLOOKUP(A14,#REF!,22,0)</f>
        <v>#REF!</v>
      </c>
      <c r="V14" s="42" t="e">
        <f ca="1">VLOOKUP(A14,#REF!,23,0)</f>
        <v>#REF!</v>
      </c>
      <c r="W14" s="42" t="e">
        <f t="shared" ca="1" si="0"/>
        <v>#REF!</v>
      </c>
      <c r="X14" s="43"/>
      <c r="Y14" s="44" t="e">
        <f t="shared" ref="Y14:AC14" ca="1" si="13">R14/$W14*$AD14</f>
        <v>#REF!</v>
      </c>
      <c r="Z14" s="44" t="e">
        <f t="shared" ca="1" si="13"/>
        <v>#REF!</v>
      </c>
      <c r="AA14" s="44" t="e">
        <f t="shared" ca="1" si="13"/>
        <v>#REF!</v>
      </c>
      <c r="AB14" s="44" t="e">
        <f t="shared" ca="1" si="13"/>
        <v>#REF!</v>
      </c>
      <c r="AC14" s="44" t="e">
        <f t="shared" ca="1" si="13"/>
        <v>#REF!</v>
      </c>
      <c r="AD14" s="44" t="e">
        <f t="shared" ca="1" si="2"/>
        <v>#REF!</v>
      </c>
      <c r="AE14" s="38"/>
    </row>
    <row r="15" spans="1:31" ht="15.75" customHeight="1" x14ac:dyDescent="0.15">
      <c r="A15" s="35" t="str">
        <f ca="1">IFERROR(__xludf.DUMMYFUNCTION("""COMPUTED_VALUE"""),"ca")</f>
        <v>ca</v>
      </c>
      <c r="B15" s="36" t="str">
        <f ca="1">IFERROR(__xludf.DUMMYFUNCTION("""COMPUTED_VALUE"""),"Canada")</f>
        <v>Canada</v>
      </c>
      <c r="C15" s="200">
        <f ca="1">IFERROR(__xludf.DUMMYFUNCTION("""COMPUTED_VALUE"""),46.25)</f>
        <v>46.25</v>
      </c>
      <c r="D15" s="201"/>
      <c r="E15" s="201"/>
      <c r="F15" s="202"/>
      <c r="G15" s="37" t="e">
        <f ca="1">VLOOKUP(A15,#REF!,11,0)</f>
        <v>#REF!</v>
      </c>
      <c r="H15" s="38"/>
      <c r="I15" s="45" t="str">
        <f ca="1">IFERROR(__xludf.DUMMYFUNCTION("""COMPUTED_VALUE"""),"ca")</f>
        <v>ca</v>
      </c>
      <c r="J15" s="38" t="str">
        <f ca="1">IFERROR(__xludf.DUMMYFUNCTION("""COMPUTED_VALUE"""),"Canada")</f>
        <v>Canada</v>
      </c>
      <c r="K15" s="204">
        <f ca="1">IFERROR(__xludf.DUMMYFUNCTION("""COMPUTED_VALUE"""),46.25)</f>
        <v>46.25</v>
      </c>
      <c r="L15" s="199"/>
      <c r="M15" s="199"/>
      <c r="N15" s="199"/>
      <c r="O15" s="46" t="e">
        <f ca="1">VLOOKUP(A15,#REF!,11,0)</f>
        <v>#REF!</v>
      </c>
      <c r="P15" s="38"/>
      <c r="Q15" s="38"/>
      <c r="R15" s="42" t="e">
        <f ca="1">VLOOKUP(A15,#REF!,19,0)</f>
        <v>#REF!</v>
      </c>
      <c r="S15" s="42" t="e">
        <f ca="1">VLOOKUP(A15,#REF!,20,0)</f>
        <v>#REF!</v>
      </c>
      <c r="T15" s="42" t="e">
        <f ca="1">VLOOKUP(A15,#REF!,21,0)</f>
        <v>#REF!</v>
      </c>
      <c r="U15" s="42" t="e">
        <f ca="1">VLOOKUP(A15,#REF!,22,0)</f>
        <v>#REF!</v>
      </c>
      <c r="V15" s="42" t="e">
        <f ca="1">VLOOKUP(A15,#REF!,23,0)</f>
        <v>#REF!</v>
      </c>
      <c r="W15" s="42" t="e">
        <f t="shared" ca="1" si="0"/>
        <v>#REF!</v>
      </c>
      <c r="X15" s="43"/>
      <c r="Y15" s="44" t="e">
        <f t="shared" ref="Y15:AC15" ca="1" si="14">R15/$W15*$AD15</f>
        <v>#REF!</v>
      </c>
      <c r="Z15" s="44" t="e">
        <f t="shared" ca="1" si="14"/>
        <v>#REF!</v>
      </c>
      <c r="AA15" s="44" t="e">
        <f t="shared" ca="1" si="14"/>
        <v>#REF!</v>
      </c>
      <c r="AB15" s="44" t="e">
        <f t="shared" ca="1" si="14"/>
        <v>#REF!</v>
      </c>
      <c r="AC15" s="44" t="e">
        <f t="shared" ca="1" si="14"/>
        <v>#REF!</v>
      </c>
      <c r="AD15" s="44" t="e">
        <f t="shared" ca="1" si="2"/>
        <v>#REF!</v>
      </c>
      <c r="AE15" s="38"/>
    </row>
    <row r="16" spans="1:31" ht="15.75" customHeight="1" x14ac:dyDescent="0.15">
      <c r="A16" s="35" t="str">
        <f ca="1">IFERROR(__xludf.DUMMYFUNCTION("""COMPUTED_VALUE"""),"il")</f>
        <v>il</v>
      </c>
      <c r="B16" s="36" t="str">
        <f ca="1">IFERROR(__xludf.DUMMYFUNCTION("""COMPUTED_VALUE"""),"Israel")</f>
        <v>Israel</v>
      </c>
      <c r="C16" s="200">
        <f ca="1">IFERROR(__xludf.DUMMYFUNCTION("""COMPUTED_VALUE"""),45.89)</f>
        <v>45.89</v>
      </c>
      <c r="D16" s="201"/>
      <c r="E16" s="201"/>
      <c r="F16" s="202"/>
      <c r="G16" s="37" t="e">
        <f ca="1">VLOOKUP(A16,#REF!,11,0)</f>
        <v>#REF!</v>
      </c>
      <c r="H16" s="38"/>
      <c r="I16" s="45" t="str">
        <f ca="1">IFERROR(__xludf.DUMMYFUNCTION("""COMPUTED_VALUE"""),"il")</f>
        <v>il</v>
      </c>
      <c r="J16" s="38" t="str">
        <f ca="1">IFERROR(__xludf.DUMMYFUNCTION("""COMPUTED_VALUE"""),"Israel")</f>
        <v>Israel</v>
      </c>
      <c r="K16" s="204">
        <f ca="1">IFERROR(__xludf.DUMMYFUNCTION("""COMPUTED_VALUE"""),45.89)</f>
        <v>45.89</v>
      </c>
      <c r="L16" s="199"/>
      <c r="M16" s="199"/>
      <c r="N16" s="199"/>
      <c r="O16" s="46" t="e">
        <f ca="1">VLOOKUP(A16,#REF!,11,0)</f>
        <v>#REF!</v>
      </c>
      <c r="P16" s="38"/>
      <c r="Q16" s="38"/>
      <c r="R16" s="42" t="e">
        <f ca="1">VLOOKUP(A16,#REF!,19,0)</f>
        <v>#REF!</v>
      </c>
      <c r="S16" s="42" t="e">
        <f ca="1">VLOOKUP(A16,#REF!,20,0)</f>
        <v>#REF!</v>
      </c>
      <c r="T16" s="42" t="e">
        <f ca="1">VLOOKUP(A16,#REF!,21,0)</f>
        <v>#REF!</v>
      </c>
      <c r="U16" s="42" t="e">
        <f ca="1">VLOOKUP(A16,#REF!,22,0)</f>
        <v>#REF!</v>
      </c>
      <c r="V16" s="42" t="e">
        <f ca="1">VLOOKUP(A16,#REF!,23,0)</f>
        <v>#REF!</v>
      </c>
      <c r="W16" s="42" t="e">
        <f t="shared" ca="1" si="0"/>
        <v>#REF!</v>
      </c>
      <c r="X16" s="43"/>
      <c r="Y16" s="44" t="e">
        <f t="shared" ref="Y16:AC16" ca="1" si="15">R16/$W16*$AD16</f>
        <v>#REF!</v>
      </c>
      <c r="Z16" s="44" t="e">
        <f t="shared" ca="1" si="15"/>
        <v>#REF!</v>
      </c>
      <c r="AA16" s="44" t="e">
        <f t="shared" ca="1" si="15"/>
        <v>#REF!</v>
      </c>
      <c r="AB16" s="44" t="e">
        <f t="shared" ca="1" si="15"/>
        <v>#REF!</v>
      </c>
      <c r="AC16" s="44" t="e">
        <f t="shared" ca="1" si="15"/>
        <v>#REF!</v>
      </c>
      <c r="AD16" s="44" t="e">
        <f t="shared" ca="1" si="2"/>
        <v>#REF!</v>
      </c>
      <c r="AE16" s="38"/>
    </row>
    <row r="17" spans="1:31" ht="15.75" customHeight="1" x14ac:dyDescent="0.15">
      <c r="A17" s="35" t="str">
        <f ca="1">IFERROR(__xludf.DUMMYFUNCTION("""COMPUTED_VALUE"""),"nl")</f>
        <v>nl</v>
      </c>
      <c r="B17" s="36" t="str">
        <f ca="1">IFERROR(__xludf.DUMMYFUNCTION("""COMPUTED_VALUE"""),"Netherlands")</f>
        <v>Netherlands</v>
      </c>
      <c r="C17" s="200">
        <f ca="1">IFERROR(__xludf.DUMMYFUNCTION("""COMPUTED_VALUE"""),45.17)</f>
        <v>45.17</v>
      </c>
      <c r="D17" s="201"/>
      <c r="E17" s="201"/>
      <c r="F17" s="202"/>
      <c r="G17" s="37" t="e">
        <f ca="1">VLOOKUP(A17,#REF!,11,0)</f>
        <v>#REF!</v>
      </c>
      <c r="H17" s="38"/>
      <c r="I17" s="45" t="str">
        <f ca="1">IFERROR(__xludf.DUMMYFUNCTION("""COMPUTED_VALUE"""),"nl")</f>
        <v>nl</v>
      </c>
      <c r="J17" s="38" t="str">
        <f ca="1">IFERROR(__xludf.DUMMYFUNCTION("""COMPUTED_VALUE"""),"Netherlands")</f>
        <v>Netherlands</v>
      </c>
      <c r="K17" s="204">
        <f ca="1">IFERROR(__xludf.DUMMYFUNCTION("""COMPUTED_VALUE"""),45.17)</f>
        <v>45.17</v>
      </c>
      <c r="L17" s="199"/>
      <c r="M17" s="199"/>
      <c r="N17" s="199"/>
      <c r="O17" s="46" t="e">
        <f ca="1">VLOOKUP(A17,#REF!,11,0)</f>
        <v>#REF!</v>
      </c>
      <c r="P17" s="38"/>
      <c r="Q17" s="38"/>
      <c r="R17" s="42" t="e">
        <f ca="1">VLOOKUP(A17,#REF!,19,0)</f>
        <v>#REF!</v>
      </c>
      <c r="S17" s="42" t="e">
        <f ca="1">VLOOKUP(A17,#REF!,20,0)</f>
        <v>#REF!</v>
      </c>
      <c r="T17" s="42" t="e">
        <f ca="1">VLOOKUP(A17,#REF!,21,0)</f>
        <v>#REF!</v>
      </c>
      <c r="U17" s="42" t="e">
        <f ca="1">VLOOKUP(A17,#REF!,22,0)</f>
        <v>#REF!</v>
      </c>
      <c r="V17" s="42" t="e">
        <f ca="1">VLOOKUP(A17,#REF!,23,0)</f>
        <v>#REF!</v>
      </c>
      <c r="W17" s="42" t="e">
        <f t="shared" ca="1" si="0"/>
        <v>#REF!</v>
      </c>
      <c r="X17" s="43"/>
      <c r="Y17" s="44" t="e">
        <f t="shared" ref="Y17:AC17" ca="1" si="16">R17/$W17*$AD17</f>
        <v>#REF!</v>
      </c>
      <c r="Z17" s="44" t="e">
        <f t="shared" ca="1" si="16"/>
        <v>#REF!</v>
      </c>
      <c r="AA17" s="44" t="e">
        <f t="shared" ca="1" si="16"/>
        <v>#REF!</v>
      </c>
      <c r="AB17" s="44" t="e">
        <f t="shared" ca="1" si="16"/>
        <v>#REF!</v>
      </c>
      <c r="AC17" s="44" t="e">
        <f t="shared" ca="1" si="16"/>
        <v>#REF!</v>
      </c>
      <c r="AD17" s="44" t="e">
        <f t="shared" ca="1" si="2"/>
        <v>#REF!</v>
      </c>
      <c r="AE17" s="38"/>
    </row>
    <row r="18" spans="1:31" ht="15.75" customHeight="1" x14ac:dyDescent="0.15">
      <c r="A18" s="35" t="str">
        <f ca="1">IFERROR(__xludf.DUMMYFUNCTION("""COMPUTED_VALUE"""),"gr")</f>
        <v>gr</v>
      </c>
      <c r="B18" s="36" t="str">
        <f ca="1">IFERROR(__xludf.DUMMYFUNCTION("""COMPUTED_VALUE"""),"Greece")</f>
        <v>Greece</v>
      </c>
      <c r="C18" s="200">
        <f ca="1">IFERROR(__xludf.DUMMYFUNCTION("""COMPUTED_VALUE"""),44.17)</f>
        <v>44.17</v>
      </c>
      <c r="D18" s="201"/>
      <c r="E18" s="201"/>
      <c r="F18" s="202"/>
      <c r="G18" s="37" t="e">
        <f ca="1">VLOOKUP(A18,#REF!,11,0)</f>
        <v>#REF!</v>
      </c>
      <c r="H18" s="38"/>
      <c r="I18" s="45" t="str">
        <f ca="1">IFERROR(__xludf.DUMMYFUNCTION("""COMPUTED_VALUE"""),"gr")</f>
        <v>gr</v>
      </c>
      <c r="J18" s="38" t="str">
        <f ca="1">IFERROR(__xludf.DUMMYFUNCTION("""COMPUTED_VALUE"""),"Greece")</f>
        <v>Greece</v>
      </c>
      <c r="K18" s="204">
        <f ca="1">IFERROR(__xludf.DUMMYFUNCTION("""COMPUTED_VALUE"""),44.17)</f>
        <v>44.17</v>
      </c>
      <c r="L18" s="199"/>
      <c r="M18" s="199"/>
      <c r="N18" s="199"/>
      <c r="O18" s="46" t="e">
        <f ca="1">VLOOKUP(A18,#REF!,11,0)</f>
        <v>#REF!</v>
      </c>
      <c r="P18" s="38"/>
      <c r="Q18" s="38"/>
      <c r="R18" s="42" t="e">
        <f ca="1">VLOOKUP(A18,#REF!,19,0)</f>
        <v>#REF!</v>
      </c>
      <c r="S18" s="42" t="e">
        <f ca="1">VLOOKUP(A18,#REF!,20,0)</f>
        <v>#REF!</v>
      </c>
      <c r="T18" s="42" t="e">
        <f ca="1">VLOOKUP(A18,#REF!,21,0)</f>
        <v>#REF!</v>
      </c>
      <c r="U18" s="42" t="e">
        <f ca="1">VLOOKUP(A18,#REF!,22,0)</f>
        <v>#REF!</v>
      </c>
      <c r="V18" s="42" t="e">
        <f ca="1">VLOOKUP(A18,#REF!,23,0)</f>
        <v>#REF!</v>
      </c>
      <c r="W18" s="42" t="e">
        <f t="shared" ca="1" si="0"/>
        <v>#REF!</v>
      </c>
      <c r="X18" s="43"/>
      <c r="Y18" s="44" t="e">
        <f t="shared" ref="Y18:AC18" ca="1" si="17">R18/$W18*$AD18</f>
        <v>#REF!</v>
      </c>
      <c r="Z18" s="44" t="e">
        <f t="shared" ca="1" si="17"/>
        <v>#REF!</v>
      </c>
      <c r="AA18" s="44" t="e">
        <f t="shared" ca="1" si="17"/>
        <v>#REF!</v>
      </c>
      <c r="AB18" s="44" t="e">
        <f t="shared" ca="1" si="17"/>
        <v>#REF!</v>
      </c>
      <c r="AC18" s="44" t="e">
        <f t="shared" ca="1" si="17"/>
        <v>#REF!</v>
      </c>
      <c r="AD18" s="44" t="e">
        <f t="shared" ca="1" si="2"/>
        <v>#REF!</v>
      </c>
      <c r="AE18" s="38"/>
    </row>
    <row r="19" spans="1:31" ht="15.75" customHeight="1" x14ac:dyDescent="0.15">
      <c r="A19" s="35" t="str">
        <f ca="1">IFERROR(__xludf.DUMMYFUNCTION("""COMPUTED_VALUE"""),"cz")</f>
        <v>cz</v>
      </c>
      <c r="B19" s="36" t="str">
        <f ca="1">IFERROR(__xludf.DUMMYFUNCTION("""COMPUTED_VALUE"""),"Czechia")</f>
        <v>Czechia</v>
      </c>
      <c r="C19" s="200">
        <f ca="1">IFERROR(__xludf.DUMMYFUNCTION("""COMPUTED_VALUE"""),43.78)</f>
        <v>43.78</v>
      </c>
      <c r="D19" s="201"/>
      <c r="E19" s="201"/>
      <c r="F19" s="202"/>
      <c r="G19" s="37" t="e">
        <f ca="1">VLOOKUP(A19,#REF!,11,0)</f>
        <v>#REF!</v>
      </c>
      <c r="H19" s="38"/>
      <c r="I19" s="45" t="str">
        <f ca="1">IFERROR(__xludf.DUMMYFUNCTION("""COMPUTED_VALUE"""),"cz")</f>
        <v>cz</v>
      </c>
      <c r="J19" s="38" t="str">
        <f ca="1">IFERROR(__xludf.DUMMYFUNCTION("""COMPUTED_VALUE"""),"Czechia")</f>
        <v>Czechia</v>
      </c>
      <c r="K19" s="204">
        <f ca="1">IFERROR(__xludf.DUMMYFUNCTION("""COMPUTED_VALUE"""),43.78)</f>
        <v>43.78</v>
      </c>
      <c r="L19" s="199"/>
      <c r="M19" s="199"/>
      <c r="N19" s="199"/>
      <c r="O19" s="46" t="e">
        <f ca="1">VLOOKUP(A19,#REF!,11,0)</f>
        <v>#REF!</v>
      </c>
      <c r="P19" s="38"/>
      <c r="Q19" s="38"/>
      <c r="R19" s="42" t="e">
        <f ca="1">VLOOKUP(A19,#REF!,19,0)</f>
        <v>#REF!</v>
      </c>
      <c r="S19" s="42" t="e">
        <f ca="1">VLOOKUP(A19,#REF!,20,0)</f>
        <v>#REF!</v>
      </c>
      <c r="T19" s="42" t="e">
        <f ca="1">VLOOKUP(A19,#REF!,21,0)</f>
        <v>#REF!</v>
      </c>
      <c r="U19" s="42" t="e">
        <f ca="1">VLOOKUP(A19,#REF!,22,0)</f>
        <v>#REF!</v>
      </c>
      <c r="V19" s="42" t="e">
        <f ca="1">VLOOKUP(A19,#REF!,23,0)</f>
        <v>#REF!</v>
      </c>
      <c r="W19" s="42" t="e">
        <f t="shared" ca="1" si="0"/>
        <v>#REF!</v>
      </c>
      <c r="X19" s="43"/>
      <c r="Y19" s="44" t="e">
        <f t="shared" ref="Y19:AC19" ca="1" si="18">R19/$W19*$AD19</f>
        <v>#REF!</v>
      </c>
      <c r="Z19" s="44" t="e">
        <f t="shared" ca="1" si="18"/>
        <v>#REF!</v>
      </c>
      <c r="AA19" s="44" t="e">
        <f t="shared" ca="1" si="18"/>
        <v>#REF!</v>
      </c>
      <c r="AB19" s="44" t="e">
        <f t="shared" ca="1" si="18"/>
        <v>#REF!</v>
      </c>
      <c r="AC19" s="44" t="e">
        <f t="shared" ca="1" si="18"/>
        <v>#REF!</v>
      </c>
      <c r="AD19" s="44" t="e">
        <f t="shared" ca="1" si="2"/>
        <v>#REF!</v>
      </c>
      <c r="AE19" s="38"/>
    </row>
    <row r="20" spans="1:31" ht="15.75" customHeight="1" x14ac:dyDescent="0.15">
      <c r="A20" s="35" t="str">
        <f ca="1">IFERROR(__xludf.DUMMYFUNCTION("""COMPUTED_VALUE"""),"ee")</f>
        <v>ee</v>
      </c>
      <c r="B20" s="36" t="str">
        <f ca="1">IFERROR(__xludf.DUMMYFUNCTION("""COMPUTED_VALUE"""),"Estonia")</f>
        <v>Estonia</v>
      </c>
      <c r="C20" s="200">
        <f ca="1">IFERROR(__xludf.DUMMYFUNCTION("""COMPUTED_VALUE"""),43.17)</f>
        <v>43.17</v>
      </c>
      <c r="D20" s="201"/>
      <c r="E20" s="201"/>
      <c r="F20" s="202"/>
      <c r="G20" s="37" t="e">
        <f ca="1">VLOOKUP(A20,#REF!,11,0)</f>
        <v>#REF!</v>
      </c>
      <c r="H20" s="38"/>
      <c r="I20" s="45" t="str">
        <f ca="1">IFERROR(__xludf.DUMMYFUNCTION("""COMPUTED_VALUE"""),"ee")</f>
        <v>ee</v>
      </c>
      <c r="J20" s="38" t="str">
        <f ca="1">IFERROR(__xludf.DUMMYFUNCTION("""COMPUTED_VALUE"""),"Estonia")</f>
        <v>Estonia</v>
      </c>
      <c r="K20" s="204">
        <f ca="1">IFERROR(__xludf.DUMMYFUNCTION("""COMPUTED_VALUE"""),43.17)</f>
        <v>43.17</v>
      </c>
      <c r="L20" s="199"/>
      <c r="M20" s="199"/>
      <c r="N20" s="199"/>
      <c r="O20" s="46" t="e">
        <f ca="1">VLOOKUP(A20,#REF!,11,0)</f>
        <v>#REF!</v>
      </c>
      <c r="P20" s="38"/>
      <c r="Q20" s="38"/>
      <c r="R20" s="42" t="e">
        <f ca="1">VLOOKUP(A20,#REF!,19,0)</f>
        <v>#REF!</v>
      </c>
      <c r="S20" s="42" t="e">
        <f ca="1">VLOOKUP(A20,#REF!,20,0)</f>
        <v>#REF!</v>
      </c>
      <c r="T20" s="42" t="e">
        <f ca="1">VLOOKUP(A20,#REF!,21,0)</f>
        <v>#REF!</v>
      </c>
      <c r="U20" s="42" t="e">
        <f ca="1">VLOOKUP(A20,#REF!,22,0)</f>
        <v>#REF!</v>
      </c>
      <c r="V20" s="42" t="e">
        <f ca="1">VLOOKUP(A20,#REF!,23,0)</f>
        <v>#REF!</v>
      </c>
      <c r="W20" s="42" t="e">
        <f t="shared" ca="1" si="0"/>
        <v>#REF!</v>
      </c>
      <c r="X20" s="43"/>
      <c r="Y20" s="44" t="e">
        <f t="shared" ref="Y20:AC20" ca="1" si="19">R20/$W20*$AD20</f>
        <v>#REF!</v>
      </c>
      <c r="Z20" s="44" t="e">
        <f t="shared" ca="1" si="19"/>
        <v>#REF!</v>
      </c>
      <c r="AA20" s="44" t="e">
        <f t="shared" ca="1" si="19"/>
        <v>#REF!</v>
      </c>
      <c r="AB20" s="44" t="e">
        <f t="shared" ca="1" si="19"/>
        <v>#REF!</v>
      </c>
      <c r="AC20" s="44" t="e">
        <f t="shared" ca="1" si="19"/>
        <v>#REF!</v>
      </c>
      <c r="AD20" s="44" t="e">
        <f t="shared" ca="1" si="2"/>
        <v>#REF!</v>
      </c>
      <c r="AE20" s="38"/>
    </row>
    <row r="21" spans="1:31" ht="15.75" customHeight="1" x14ac:dyDescent="0.15">
      <c r="A21" s="35" t="str">
        <f ca="1">IFERROR(__xludf.DUMMYFUNCTION("""COMPUTED_VALUE"""),"lt")</f>
        <v>lt</v>
      </c>
      <c r="B21" s="36" t="str">
        <f ca="1">IFERROR(__xludf.DUMMYFUNCTION("""COMPUTED_VALUE"""),"Lithuania")</f>
        <v>Lithuania</v>
      </c>
      <c r="C21" s="200">
        <f ca="1">IFERROR(__xludf.DUMMYFUNCTION("""COMPUTED_VALUE"""),43.17)</f>
        <v>43.17</v>
      </c>
      <c r="D21" s="201"/>
      <c r="E21" s="201"/>
      <c r="F21" s="202"/>
      <c r="G21" s="37" t="e">
        <f ca="1">VLOOKUP(A21,#REF!,11,0)</f>
        <v>#REF!</v>
      </c>
      <c r="H21" s="38"/>
      <c r="I21" s="45" t="str">
        <f ca="1">IFERROR(__xludf.DUMMYFUNCTION("""COMPUTED_VALUE"""),"lt")</f>
        <v>lt</v>
      </c>
      <c r="J21" s="38" t="str">
        <f ca="1">IFERROR(__xludf.DUMMYFUNCTION("""COMPUTED_VALUE"""),"Lithuania")</f>
        <v>Lithuania</v>
      </c>
      <c r="K21" s="204">
        <f ca="1">IFERROR(__xludf.DUMMYFUNCTION("""COMPUTED_VALUE"""),43.17)</f>
        <v>43.17</v>
      </c>
      <c r="L21" s="199"/>
      <c r="M21" s="199"/>
      <c r="N21" s="199"/>
      <c r="O21" s="46" t="e">
        <f ca="1">VLOOKUP(A21,#REF!,11,0)</f>
        <v>#REF!</v>
      </c>
      <c r="P21" s="38"/>
      <c r="Q21" s="38"/>
      <c r="R21" s="42" t="e">
        <f ca="1">VLOOKUP(A21,#REF!,19,0)</f>
        <v>#REF!</v>
      </c>
      <c r="S21" s="42" t="e">
        <f ca="1">VLOOKUP(A21,#REF!,20,0)</f>
        <v>#REF!</v>
      </c>
      <c r="T21" s="42" t="e">
        <f ca="1">VLOOKUP(A21,#REF!,21,0)</f>
        <v>#REF!</v>
      </c>
      <c r="U21" s="42" t="e">
        <f ca="1">VLOOKUP(A21,#REF!,22,0)</f>
        <v>#REF!</v>
      </c>
      <c r="V21" s="42" t="e">
        <f ca="1">VLOOKUP(A21,#REF!,23,0)</f>
        <v>#REF!</v>
      </c>
      <c r="W21" s="42" t="e">
        <f t="shared" ca="1" si="0"/>
        <v>#REF!</v>
      </c>
      <c r="X21" s="43"/>
      <c r="Y21" s="44" t="e">
        <f t="shared" ref="Y21:AC21" ca="1" si="20">R21/$W21*$AD21</f>
        <v>#REF!</v>
      </c>
      <c r="Z21" s="44" t="e">
        <f t="shared" ca="1" si="20"/>
        <v>#REF!</v>
      </c>
      <c r="AA21" s="44" t="e">
        <f t="shared" ca="1" si="20"/>
        <v>#REF!</v>
      </c>
      <c r="AB21" s="44" t="e">
        <f t="shared" ca="1" si="20"/>
        <v>#REF!</v>
      </c>
      <c r="AC21" s="44" t="e">
        <f t="shared" ca="1" si="20"/>
        <v>#REF!</v>
      </c>
      <c r="AD21" s="44" t="e">
        <f t="shared" ca="1" si="2"/>
        <v>#REF!</v>
      </c>
      <c r="AE21" s="38"/>
    </row>
    <row r="22" spans="1:31" ht="15.75" customHeight="1" x14ac:dyDescent="0.15">
      <c r="A22" s="35" t="str">
        <f ca="1">IFERROR(__xludf.DUMMYFUNCTION("""COMPUTED_VALUE"""),"lv")</f>
        <v>lv</v>
      </c>
      <c r="B22" s="36" t="str">
        <f ca="1">IFERROR(__xludf.DUMMYFUNCTION("""COMPUTED_VALUE"""),"Latvia")</f>
        <v>Latvia</v>
      </c>
      <c r="C22" s="200">
        <f ca="1">IFERROR(__xludf.DUMMYFUNCTION("""COMPUTED_VALUE"""),43.17)</f>
        <v>43.17</v>
      </c>
      <c r="D22" s="201"/>
      <c r="E22" s="201"/>
      <c r="F22" s="202"/>
      <c r="G22" s="37" t="e">
        <f ca="1">VLOOKUP(A22,#REF!,11,0)</f>
        <v>#REF!</v>
      </c>
      <c r="H22" s="38"/>
      <c r="I22" s="45" t="str">
        <f ca="1">IFERROR(__xludf.DUMMYFUNCTION("""COMPUTED_VALUE"""),"lv")</f>
        <v>lv</v>
      </c>
      <c r="J22" s="38" t="str">
        <f ca="1">IFERROR(__xludf.DUMMYFUNCTION("""COMPUTED_VALUE"""),"Latvia")</f>
        <v>Latvia</v>
      </c>
      <c r="K22" s="204">
        <f ca="1">IFERROR(__xludf.DUMMYFUNCTION("""COMPUTED_VALUE"""),43.17)</f>
        <v>43.17</v>
      </c>
      <c r="L22" s="199"/>
      <c r="M22" s="199"/>
      <c r="N22" s="199"/>
      <c r="O22" s="46" t="e">
        <f ca="1">VLOOKUP(A22,#REF!,11,0)</f>
        <v>#REF!</v>
      </c>
      <c r="P22" s="38"/>
      <c r="Q22" s="38"/>
      <c r="R22" s="42" t="e">
        <f ca="1">VLOOKUP(A22,#REF!,19,0)</f>
        <v>#REF!</v>
      </c>
      <c r="S22" s="42" t="e">
        <f ca="1">VLOOKUP(A22,#REF!,20,0)</f>
        <v>#REF!</v>
      </c>
      <c r="T22" s="42" t="e">
        <f ca="1">VLOOKUP(A22,#REF!,21,0)</f>
        <v>#REF!</v>
      </c>
      <c r="U22" s="42" t="e">
        <f ca="1">VLOOKUP(A22,#REF!,22,0)</f>
        <v>#REF!</v>
      </c>
      <c r="V22" s="42" t="e">
        <f ca="1">VLOOKUP(A22,#REF!,23,0)</f>
        <v>#REF!</v>
      </c>
      <c r="W22" s="42" t="e">
        <f t="shared" ca="1" si="0"/>
        <v>#REF!</v>
      </c>
      <c r="X22" s="43"/>
      <c r="Y22" s="44" t="e">
        <f t="shared" ref="Y22:AC22" ca="1" si="21">R22/$W22*$AD22</f>
        <v>#REF!</v>
      </c>
      <c r="Z22" s="44" t="e">
        <f t="shared" ca="1" si="21"/>
        <v>#REF!</v>
      </c>
      <c r="AA22" s="44" t="e">
        <f t="shared" ca="1" si="21"/>
        <v>#REF!</v>
      </c>
      <c r="AB22" s="44" t="e">
        <f t="shared" ca="1" si="21"/>
        <v>#REF!</v>
      </c>
      <c r="AC22" s="44" t="e">
        <f t="shared" ca="1" si="21"/>
        <v>#REF!</v>
      </c>
      <c r="AD22" s="44" t="e">
        <f t="shared" ca="1" si="2"/>
        <v>#REF!</v>
      </c>
      <c r="AE22" s="38"/>
    </row>
    <row r="23" spans="1:31" ht="15.75" customHeight="1" x14ac:dyDescent="0.15">
      <c r="A23" s="35" t="str">
        <f ca="1">IFERROR(__xludf.DUMMYFUNCTION("""COMPUTED_VALUE"""),"pt")</f>
        <v>pt</v>
      </c>
      <c r="B23" s="36" t="str">
        <f ca="1">IFERROR(__xludf.DUMMYFUNCTION("""COMPUTED_VALUE"""),"Portugal")</f>
        <v>Portugal</v>
      </c>
      <c r="C23" s="200">
        <f ca="1">IFERROR(__xludf.DUMMYFUNCTION("""COMPUTED_VALUE"""),43.17)</f>
        <v>43.17</v>
      </c>
      <c r="D23" s="201"/>
      <c r="E23" s="201"/>
      <c r="F23" s="202"/>
      <c r="G23" s="37" t="e">
        <f ca="1">VLOOKUP(A23,#REF!,11,0)</f>
        <v>#REF!</v>
      </c>
      <c r="H23" s="38"/>
      <c r="I23" s="45" t="str">
        <f ca="1">IFERROR(__xludf.DUMMYFUNCTION("""COMPUTED_VALUE"""),"pt")</f>
        <v>pt</v>
      </c>
      <c r="J23" s="38" t="str">
        <f ca="1">IFERROR(__xludf.DUMMYFUNCTION("""COMPUTED_VALUE"""),"Portugal")</f>
        <v>Portugal</v>
      </c>
      <c r="K23" s="204">
        <f ca="1">IFERROR(__xludf.DUMMYFUNCTION("""COMPUTED_VALUE"""),43.17)</f>
        <v>43.17</v>
      </c>
      <c r="L23" s="199"/>
      <c r="M23" s="199"/>
      <c r="N23" s="199"/>
      <c r="O23" s="46" t="e">
        <f ca="1">VLOOKUP(A23,#REF!,11,0)</f>
        <v>#REF!</v>
      </c>
      <c r="P23" s="38"/>
      <c r="Q23" s="38"/>
      <c r="R23" s="42" t="e">
        <f ca="1">VLOOKUP(A23,#REF!,19,0)</f>
        <v>#REF!</v>
      </c>
      <c r="S23" s="42" t="e">
        <f ca="1">VLOOKUP(A23,#REF!,20,0)</f>
        <v>#REF!</v>
      </c>
      <c r="T23" s="42" t="e">
        <f ca="1">VLOOKUP(A23,#REF!,21,0)</f>
        <v>#REF!</v>
      </c>
      <c r="U23" s="42" t="e">
        <f ca="1">VLOOKUP(A23,#REF!,22,0)</f>
        <v>#REF!</v>
      </c>
      <c r="V23" s="42" t="e">
        <f ca="1">VLOOKUP(A23,#REF!,23,0)</f>
        <v>#REF!</v>
      </c>
      <c r="W23" s="42" t="e">
        <f t="shared" ca="1" si="0"/>
        <v>#REF!</v>
      </c>
      <c r="X23" s="43"/>
      <c r="Y23" s="44" t="e">
        <f t="shared" ref="Y23:AC23" ca="1" si="22">R23/$W23*$AD23</f>
        <v>#REF!</v>
      </c>
      <c r="Z23" s="44" t="e">
        <f t="shared" ca="1" si="22"/>
        <v>#REF!</v>
      </c>
      <c r="AA23" s="44" t="e">
        <f t="shared" ca="1" si="22"/>
        <v>#REF!</v>
      </c>
      <c r="AB23" s="44" t="e">
        <f t="shared" ca="1" si="22"/>
        <v>#REF!</v>
      </c>
      <c r="AC23" s="44" t="e">
        <f t="shared" ca="1" si="22"/>
        <v>#REF!</v>
      </c>
      <c r="AD23" s="44" t="e">
        <f t="shared" ca="1" si="2"/>
        <v>#REF!</v>
      </c>
      <c r="AE23" s="38"/>
    </row>
    <row r="24" spans="1:31" ht="15.75" customHeight="1" x14ac:dyDescent="0.15">
      <c r="A24" s="35" t="str">
        <f ca="1">IFERROR(__xludf.DUMMYFUNCTION("""COMPUTED_VALUE"""),"hr")</f>
        <v>hr</v>
      </c>
      <c r="B24" s="36" t="str">
        <f ca="1">IFERROR(__xludf.DUMMYFUNCTION("""COMPUTED_VALUE"""),"Croatia")</f>
        <v>Croatia</v>
      </c>
      <c r="C24" s="200">
        <f ca="1">IFERROR(__xludf.DUMMYFUNCTION("""COMPUTED_VALUE"""),42.17)</f>
        <v>42.17</v>
      </c>
      <c r="D24" s="201"/>
      <c r="E24" s="201"/>
      <c r="F24" s="202"/>
      <c r="G24" s="37" t="e">
        <f ca="1">VLOOKUP(A24,#REF!,11,0)</f>
        <v>#REF!</v>
      </c>
      <c r="H24" s="38"/>
      <c r="I24" s="45" t="str">
        <f ca="1">IFERROR(__xludf.DUMMYFUNCTION("""COMPUTED_VALUE"""),"hr")</f>
        <v>hr</v>
      </c>
      <c r="J24" s="38" t="str">
        <f ca="1">IFERROR(__xludf.DUMMYFUNCTION("""COMPUTED_VALUE"""),"Croatia")</f>
        <v>Croatia</v>
      </c>
      <c r="K24" s="204">
        <f ca="1">IFERROR(__xludf.DUMMYFUNCTION("""COMPUTED_VALUE"""),42.17)</f>
        <v>42.17</v>
      </c>
      <c r="L24" s="199"/>
      <c r="M24" s="199"/>
      <c r="N24" s="199"/>
      <c r="O24" s="46" t="e">
        <f ca="1">VLOOKUP(A24,#REF!,11,0)</f>
        <v>#REF!</v>
      </c>
      <c r="P24" s="38"/>
      <c r="Q24" s="38"/>
      <c r="R24" s="42" t="e">
        <f ca="1">VLOOKUP(A24,#REF!,19,0)</f>
        <v>#REF!</v>
      </c>
      <c r="S24" s="42" t="e">
        <f ca="1">VLOOKUP(A24,#REF!,20,0)</f>
        <v>#REF!</v>
      </c>
      <c r="T24" s="42" t="e">
        <f ca="1">VLOOKUP(A24,#REF!,21,0)</f>
        <v>#REF!</v>
      </c>
      <c r="U24" s="42" t="e">
        <f ca="1">VLOOKUP(A24,#REF!,22,0)</f>
        <v>#REF!</v>
      </c>
      <c r="V24" s="42" t="e">
        <f ca="1">VLOOKUP(A24,#REF!,23,0)</f>
        <v>#REF!</v>
      </c>
      <c r="W24" s="42" t="e">
        <f t="shared" ca="1" si="0"/>
        <v>#REF!</v>
      </c>
      <c r="X24" s="43"/>
      <c r="Y24" s="44" t="e">
        <f t="shared" ref="Y24:AC24" ca="1" si="23">R24/$W24*$AD24</f>
        <v>#REF!</v>
      </c>
      <c r="Z24" s="44" t="e">
        <f t="shared" ca="1" si="23"/>
        <v>#REF!</v>
      </c>
      <c r="AA24" s="44" t="e">
        <f t="shared" ca="1" si="23"/>
        <v>#REF!</v>
      </c>
      <c r="AB24" s="44" t="e">
        <f t="shared" ca="1" si="23"/>
        <v>#REF!</v>
      </c>
      <c r="AC24" s="44" t="e">
        <f t="shared" ca="1" si="23"/>
        <v>#REF!</v>
      </c>
      <c r="AD24" s="44" t="e">
        <f t="shared" ca="1" si="2"/>
        <v>#REF!</v>
      </c>
      <c r="AE24" s="38"/>
    </row>
    <row r="25" spans="1:31" ht="15.75" customHeight="1" x14ac:dyDescent="0.15">
      <c r="A25" s="35" t="str">
        <f ca="1">IFERROR(__xludf.DUMMYFUNCTION("""COMPUTED_VALUE"""),"sk")</f>
        <v>sk</v>
      </c>
      <c r="B25" s="36" t="str">
        <f ca="1">IFERROR(__xludf.DUMMYFUNCTION("""COMPUTED_VALUE"""),"Slovakia")</f>
        <v>Slovakia</v>
      </c>
      <c r="C25" s="200">
        <f ca="1">IFERROR(__xludf.DUMMYFUNCTION("""COMPUTED_VALUE"""),42.17)</f>
        <v>42.17</v>
      </c>
      <c r="D25" s="201"/>
      <c r="E25" s="201"/>
      <c r="F25" s="202"/>
      <c r="G25" s="37" t="e">
        <f ca="1">VLOOKUP(A25,#REF!,11,0)</f>
        <v>#REF!</v>
      </c>
      <c r="H25" s="38"/>
      <c r="I25" s="45" t="str">
        <f ca="1">IFERROR(__xludf.DUMMYFUNCTION("""COMPUTED_VALUE"""),"sk")</f>
        <v>sk</v>
      </c>
      <c r="J25" s="38" t="str">
        <f ca="1">IFERROR(__xludf.DUMMYFUNCTION("""COMPUTED_VALUE"""),"Slovakia")</f>
        <v>Slovakia</v>
      </c>
      <c r="K25" s="204">
        <f ca="1">IFERROR(__xludf.DUMMYFUNCTION("""COMPUTED_VALUE"""),42.17)</f>
        <v>42.17</v>
      </c>
      <c r="L25" s="199"/>
      <c r="M25" s="199"/>
      <c r="N25" s="199"/>
      <c r="O25" s="46" t="e">
        <f ca="1">VLOOKUP(A25,#REF!,11,0)</f>
        <v>#REF!</v>
      </c>
      <c r="P25" s="38"/>
      <c r="Q25" s="38"/>
      <c r="R25" s="42" t="e">
        <f ca="1">VLOOKUP(A25,#REF!,19,0)</f>
        <v>#REF!</v>
      </c>
      <c r="S25" s="42" t="e">
        <f ca="1">VLOOKUP(A25,#REF!,20,0)</f>
        <v>#REF!</v>
      </c>
      <c r="T25" s="42" t="e">
        <f ca="1">VLOOKUP(A25,#REF!,21,0)</f>
        <v>#REF!</v>
      </c>
      <c r="U25" s="42" t="e">
        <f ca="1">VLOOKUP(A25,#REF!,22,0)</f>
        <v>#REF!</v>
      </c>
      <c r="V25" s="42" t="e">
        <f ca="1">VLOOKUP(A25,#REF!,23,0)</f>
        <v>#REF!</v>
      </c>
      <c r="W25" s="42" t="e">
        <f t="shared" ca="1" si="0"/>
        <v>#REF!</v>
      </c>
      <c r="X25" s="43"/>
      <c r="Y25" s="44" t="e">
        <f t="shared" ref="Y25:AC25" ca="1" si="24">R25/$W25*$AD25</f>
        <v>#REF!</v>
      </c>
      <c r="Z25" s="44" t="e">
        <f t="shared" ca="1" si="24"/>
        <v>#REF!</v>
      </c>
      <c r="AA25" s="44" t="e">
        <f t="shared" ca="1" si="24"/>
        <v>#REF!</v>
      </c>
      <c r="AB25" s="44" t="e">
        <f t="shared" ca="1" si="24"/>
        <v>#REF!</v>
      </c>
      <c r="AC25" s="44" t="e">
        <f t="shared" ca="1" si="24"/>
        <v>#REF!</v>
      </c>
      <c r="AD25" s="44" t="e">
        <f t="shared" ca="1" si="2"/>
        <v>#REF!</v>
      </c>
      <c r="AE25" s="38"/>
    </row>
    <row r="26" spans="1:31" ht="15.75" customHeight="1" x14ac:dyDescent="0.15">
      <c r="A26" s="35" t="str">
        <f ca="1">IFERROR(__xludf.DUMMYFUNCTION("""COMPUTED_VALUE"""),"nz")</f>
        <v>nz</v>
      </c>
      <c r="B26" s="36" t="str">
        <f ca="1">IFERROR(__xludf.DUMMYFUNCTION("""COMPUTED_VALUE"""),"New Zealand")</f>
        <v>New Zealand</v>
      </c>
      <c r="C26" s="200">
        <f ca="1">IFERROR(__xludf.DUMMYFUNCTION("""COMPUTED_VALUE"""),41.44)</f>
        <v>41.44</v>
      </c>
      <c r="D26" s="201"/>
      <c r="E26" s="201"/>
      <c r="F26" s="202"/>
      <c r="G26" s="37" t="e">
        <f ca="1">VLOOKUP(A26,#REF!,11,0)</f>
        <v>#REF!</v>
      </c>
      <c r="H26" s="38"/>
      <c r="I26" s="45" t="str">
        <f ca="1">IFERROR(__xludf.DUMMYFUNCTION("""COMPUTED_VALUE"""),"nz")</f>
        <v>nz</v>
      </c>
      <c r="J26" s="38" t="str">
        <f ca="1">IFERROR(__xludf.DUMMYFUNCTION("""COMPUTED_VALUE"""),"New Zealand")</f>
        <v>New Zealand</v>
      </c>
      <c r="K26" s="204">
        <f ca="1">IFERROR(__xludf.DUMMYFUNCTION("""COMPUTED_VALUE"""),41.44)</f>
        <v>41.44</v>
      </c>
      <c r="L26" s="199"/>
      <c r="M26" s="199"/>
      <c r="N26" s="199"/>
      <c r="O26" s="46" t="e">
        <f ca="1">VLOOKUP(A26,#REF!,11,0)</f>
        <v>#REF!</v>
      </c>
      <c r="P26" s="38"/>
      <c r="Q26" s="38"/>
      <c r="R26" s="42" t="e">
        <f ca="1">VLOOKUP(A26,#REF!,19,0)</f>
        <v>#REF!</v>
      </c>
      <c r="S26" s="42" t="e">
        <f ca="1">VLOOKUP(A26,#REF!,20,0)</f>
        <v>#REF!</v>
      </c>
      <c r="T26" s="42" t="e">
        <f ca="1">VLOOKUP(A26,#REF!,21,0)</f>
        <v>#REF!</v>
      </c>
      <c r="U26" s="42" t="e">
        <f ca="1">VLOOKUP(A26,#REF!,22,0)</f>
        <v>#REF!</v>
      </c>
      <c r="V26" s="42" t="e">
        <f ca="1">VLOOKUP(A26,#REF!,23,0)</f>
        <v>#REF!</v>
      </c>
      <c r="W26" s="42" t="e">
        <f t="shared" ca="1" si="0"/>
        <v>#REF!</v>
      </c>
      <c r="X26" s="43"/>
      <c r="Y26" s="44" t="e">
        <f t="shared" ref="Y26:AC26" ca="1" si="25">R26/$W26*$AD26</f>
        <v>#REF!</v>
      </c>
      <c r="Z26" s="44" t="e">
        <f t="shared" ca="1" si="25"/>
        <v>#REF!</v>
      </c>
      <c r="AA26" s="44" t="e">
        <f t="shared" ca="1" si="25"/>
        <v>#REF!</v>
      </c>
      <c r="AB26" s="44" t="e">
        <f t="shared" ca="1" si="25"/>
        <v>#REF!</v>
      </c>
      <c r="AC26" s="44" t="e">
        <f t="shared" ca="1" si="25"/>
        <v>#REF!</v>
      </c>
      <c r="AD26" s="44" t="e">
        <f t="shared" ca="1" si="2"/>
        <v>#REF!</v>
      </c>
      <c r="AE26" s="38"/>
    </row>
    <row r="27" spans="1:31" ht="15.75" customHeight="1" x14ac:dyDescent="0.15">
      <c r="A27" s="35" t="str">
        <f ca="1">IFERROR(__xludf.DUMMYFUNCTION("""COMPUTED_VALUE"""),"kz")</f>
        <v>kz</v>
      </c>
      <c r="B27" s="36" t="str">
        <f ca="1">IFERROR(__xludf.DUMMYFUNCTION("""COMPUTED_VALUE"""),"Kazakhstan")</f>
        <v>Kazakhstan</v>
      </c>
      <c r="C27" s="200">
        <f ca="1">IFERROR(__xludf.DUMMYFUNCTION("""COMPUTED_VALUE"""),41.41)</f>
        <v>41.41</v>
      </c>
      <c r="D27" s="201"/>
      <c r="E27" s="201"/>
      <c r="F27" s="202"/>
      <c r="G27" s="37" t="e">
        <f ca="1">VLOOKUP(A27,#REF!,11,0)</f>
        <v>#REF!</v>
      </c>
      <c r="H27" s="38"/>
      <c r="I27" s="45" t="str">
        <f ca="1">IFERROR(__xludf.DUMMYFUNCTION("""COMPUTED_VALUE"""),"kz")</f>
        <v>kz</v>
      </c>
      <c r="J27" s="38" t="str">
        <f ca="1">IFERROR(__xludf.DUMMYFUNCTION("""COMPUTED_VALUE"""),"Kazakhstan")</f>
        <v>Kazakhstan</v>
      </c>
      <c r="K27" s="204">
        <f ca="1">IFERROR(__xludf.DUMMYFUNCTION("""COMPUTED_VALUE"""),41.41)</f>
        <v>41.41</v>
      </c>
      <c r="L27" s="199"/>
      <c r="M27" s="199"/>
      <c r="N27" s="199"/>
      <c r="O27" s="46" t="e">
        <f ca="1">VLOOKUP(A27,#REF!,11,0)</f>
        <v>#REF!</v>
      </c>
      <c r="P27" s="38"/>
      <c r="Q27" s="38"/>
      <c r="R27" s="42" t="e">
        <f ca="1">VLOOKUP(A27,#REF!,19,0)</f>
        <v>#REF!</v>
      </c>
      <c r="S27" s="42" t="e">
        <f ca="1">VLOOKUP(A27,#REF!,20,0)</f>
        <v>#REF!</v>
      </c>
      <c r="T27" s="42" t="e">
        <f ca="1">VLOOKUP(A27,#REF!,21,0)</f>
        <v>#REF!</v>
      </c>
      <c r="U27" s="42" t="e">
        <f ca="1">VLOOKUP(A27,#REF!,22,0)</f>
        <v>#REF!</v>
      </c>
      <c r="V27" s="42" t="e">
        <f ca="1">VLOOKUP(A27,#REF!,23,0)</f>
        <v>#REF!</v>
      </c>
      <c r="W27" s="42" t="e">
        <f t="shared" ca="1" si="0"/>
        <v>#REF!</v>
      </c>
      <c r="X27" s="43"/>
      <c r="Y27" s="44" t="e">
        <f t="shared" ref="Y27:AC27" ca="1" si="26">R27/$W27*$AD27</f>
        <v>#REF!</v>
      </c>
      <c r="Z27" s="44" t="e">
        <f t="shared" ca="1" si="26"/>
        <v>#REF!</v>
      </c>
      <c r="AA27" s="44" t="e">
        <f t="shared" ca="1" si="26"/>
        <v>#REF!</v>
      </c>
      <c r="AB27" s="44" t="e">
        <f t="shared" ca="1" si="26"/>
        <v>#REF!</v>
      </c>
      <c r="AC27" s="44" t="e">
        <f t="shared" ca="1" si="26"/>
        <v>#REF!</v>
      </c>
      <c r="AD27" s="44" t="e">
        <f t="shared" ca="1" si="2"/>
        <v>#REF!</v>
      </c>
      <c r="AE27" s="38"/>
    </row>
    <row r="28" spans="1:31" ht="15.75" customHeight="1" x14ac:dyDescent="0.15">
      <c r="A28" s="35" t="str">
        <f ca="1">IFERROR(__xludf.DUMMYFUNCTION("""COMPUTED_VALUE"""),"rs")</f>
        <v>rs</v>
      </c>
      <c r="B28" s="36" t="str">
        <f ca="1">IFERROR(__xludf.DUMMYFUNCTION("""COMPUTED_VALUE"""),"Serbia")</f>
        <v>Serbia</v>
      </c>
      <c r="C28" s="200">
        <f ca="1">IFERROR(__xludf.DUMMYFUNCTION("""COMPUTED_VALUE"""),41.39)</f>
        <v>41.39</v>
      </c>
      <c r="D28" s="201"/>
      <c r="E28" s="201"/>
      <c r="F28" s="202"/>
      <c r="G28" s="37" t="e">
        <f ca="1">VLOOKUP(A28,#REF!,11,0)</f>
        <v>#REF!</v>
      </c>
      <c r="H28" s="38"/>
      <c r="I28" s="45" t="str">
        <f ca="1">IFERROR(__xludf.DUMMYFUNCTION("""COMPUTED_VALUE"""),"rs")</f>
        <v>rs</v>
      </c>
      <c r="J28" s="38" t="str">
        <f ca="1">IFERROR(__xludf.DUMMYFUNCTION("""COMPUTED_VALUE"""),"Serbia")</f>
        <v>Serbia</v>
      </c>
      <c r="K28" s="204">
        <f ca="1">IFERROR(__xludf.DUMMYFUNCTION("""COMPUTED_VALUE"""),41.39)</f>
        <v>41.39</v>
      </c>
      <c r="L28" s="199"/>
      <c r="M28" s="199"/>
      <c r="N28" s="199"/>
      <c r="O28" s="46" t="e">
        <f ca="1">VLOOKUP(A28,#REF!,11,0)</f>
        <v>#REF!</v>
      </c>
      <c r="P28" s="38"/>
      <c r="Q28" s="38"/>
      <c r="R28" s="42" t="e">
        <f ca="1">VLOOKUP(A28,#REF!,19,0)</f>
        <v>#REF!</v>
      </c>
      <c r="S28" s="42" t="e">
        <f ca="1">VLOOKUP(A28,#REF!,20,0)</f>
        <v>#REF!</v>
      </c>
      <c r="T28" s="42" t="e">
        <f ca="1">VLOOKUP(A28,#REF!,21,0)</f>
        <v>#REF!</v>
      </c>
      <c r="U28" s="42" t="e">
        <f ca="1">VLOOKUP(A28,#REF!,22,0)</f>
        <v>#REF!</v>
      </c>
      <c r="V28" s="42" t="e">
        <f ca="1">VLOOKUP(A28,#REF!,23,0)</f>
        <v>#REF!</v>
      </c>
      <c r="W28" s="42" t="e">
        <f t="shared" ca="1" si="0"/>
        <v>#REF!</v>
      </c>
      <c r="X28" s="43"/>
      <c r="Y28" s="44" t="e">
        <f t="shared" ref="Y28:AC28" ca="1" si="27">R28/$W28*$AD28</f>
        <v>#REF!</v>
      </c>
      <c r="Z28" s="44" t="e">
        <f t="shared" ca="1" si="27"/>
        <v>#REF!</v>
      </c>
      <c r="AA28" s="44" t="e">
        <f t="shared" ca="1" si="27"/>
        <v>#REF!</v>
      </c>
      <c r="AB28" s="44" t="e">
        <f t="shared" ca="1" si="27"/>
        <v>#REF!</v>
      </c>
      <c r="AC28" s="44" t="e">
        <f t="shared" ca="1" si="27"/>
        <v>#REF!</v>
      </c>
      <c r="AD28" s="44" t="e">
        <f t="shared" ca="1" si="2"/>
        <v>#REF!</v>
      </c>
      <c r="AE28" s="38"/>
    </row>
    <row r="29" spans="1:31" ht="15.75" customHeight="1" x14ac:dyDescent="0.15">
      <c r="A29" s="35" t="str">
        <f ca="1">IFERROR(__xludf.DUMMYFUNCTION("""COMPUTED_VALUE"""),"md")</f>
        <v>md</v>
      </c>
      <c r="B29" s="36" t="str">
        <f ca="1">IFERROR(__xludf.DUMMYFUNCTION("""COMPUTED_VALUE"""),"Moldova")</f>
        <v>Moldova</v>
      </c>
      <c r="C29" s="200">
        <f ca="1">IFERROR(__xludf.DUMMYFUNCTION("""COMPUTED_VALUE"""),41.28)</f>
        <v>41.28</v>
      </c>
      <c r="D29" s="201"/>
      <c r="E29" s="201"/>
      <c r="F29" s="202"/>
      <c r="G29" s="37" t="e">
        <f ca="1">VLOOKUP(A29,#REF!,11,0)</f>
        <v>#REF!</v>
      </c>
      <c r="H29" s="38"/>
      <c r="I29" s="45" t="str">
        <f ca="1">IFERROR(__xludf.DUMMYFUNCTION("""COMPUTED_VALUE"""),"md")</f>
        <v>md</v>
      </c>
      <c r="J29" s="38" t="str">
        <f ca="1">IFERROR(__xludf.DUMMYFUNCTION("""COMPUTED_VALUE"""),"Moldova")</f>
        <v>Moldova</v>
      </c>
      <c r="K29" s="204">
        <f ca="1">IFERROR(__xludf.DUMMYFUNCTION("""COMPUTED_VALUE"""),41.28)</f>
        <v>41.28</v>
      </c>
      <c r="L29" s="199"/>
      <c r="M29" s="199"/>
      <c r="N29" s="199"/>
      <c r="O29" s="46" t="e">
        <f ca="1">VLOOKUP(A29,#REF!,11,0)</f>
        <v>#REF!</v>
      </c>
      <c r="P29" s="38"/>
      <c r="Q29" s="38"/>
      <c r="R29" s="42" t="e">
        <f ca="1">VLOOKUP(A29,#REF!,19,0)</f>
        <v>#REF!</v>
      </c>
      <c r="S29" s="42" t="e">
        <f ca="1">VLOOKUP(A29,#REF!,20,0)</f>
        <v>#REF!</v>
      </c>
      <c r="T29" s="42" t="e">
        <f ca="1">VLOOKUP(A29,#REF!,21,0)</f>
        <v>#REF!</v>
      </c>
      <c r="U29" s="42" t="e">
        <f ca="1">VLOOKUP(A29,#REF!,22,0)</f>
        <v>#REF!</v>
      </c>
      <c r="V29" s="42" t="e">
        <f ca="1">VLOOKUP(A29,#REF!,23,0)</f>
        <v>#REF!</v>
      </c>
      <c r="W29" s="42" t="e">
        <f t="shared" ca="1" si="0"/>
        <v>#REF!</v>
      </c>
      <c r="X29" s="43"/>
      <c r="Y29" s="44" t="e">
        <f t="shared" ref="Y29:AC29" ca="1" si="28">R29/$W29*$AD29</f>
        <v>#REF!</v>
      </c>
      <c r="Z29" s="44" t="e">
        <f t="shared" ca="1" si="28"/>
        <v>#REF!</v>
      </c>
      <c r="AA29" s="44" t="e">
        <f t="shared" ca="1" si="28"/>
        <v>#REF!</v>
      </c>
      <c r="AB29" s="44" t="e">
        <f t="shared" ca="1" si="28"/>
        <v>#REF!</v>
      </c>
      <c r="AC29" s="44" t="e">
        <f t="shared" ca="1" si="28"/>
        <v>#REF!</v>
      </c>
      <c r="AD29" s="44" t="e">
        <f t="shared" ca="1" si="2"/>
        <v>#REF!</v>
      </c>
      <c r="AE29" s="38"/>
    </row>
    <row r="30" spans="1:31" ht="15.75" customHeight="1" x14ac:dyDescent="0.15">
      <c r="A30" s="35" t="str">
        <f ca="1">IFERROR(__xludf.DUMMYFUNCTION("""COMPUTED_VALUE"""),"al")</f>
        <v>al</v>
      </c>
      <c r="B30" s="36" t="str">
        <f ca="1">IFERROR(__xludf.DUMMYFUNCTION("""COMPUTED_VALUE"""),"Albania")</f>
        <v>Albania</v>
      </c>
      <c r="C30" s="200">
        <f ca="1">IFERROR(__xludf.DUMMYFUNCTION("""COMPUTED_VALUE"""),41.17)</f>
        <v>41.17</v>
      </c>
      <c r="D30" s="201"/>
      <c r="E30" s="201"/>
      <c r="F30" s="202"/>
      <c r="G30" s="37" t="e">
        <f ca="1">VLOOKUP(A30,#REF!,11,0)</f>
        <v>#REF!</v>
      </c>
      <c r="H30" s="38"/>
      <c r="I30" s="45" t="str">
        <f ca="1">IFERROR(__xludf.DUMMYFUNCTION("""COMPUTED_VALUE"""),"al")</f>
        <v>al</v>
      </c>
      <c r="J30" s="38" t="str">
        <f ca="1">IFERROR(__xludf.DUMMYFUNCTION("""COMPUTED_VALUE"""),"Albania")</f>
        <v>Albania</v>
      </c>
      <c r="K30" s="204">
        <f ca="1">IFERROR(__xludf.DUMMYFUNCTION("""COMPUTED_VALUE"""),41.17)</f>
        <v>41.17</v>
      </c>
      <c r="L30" s="199"/>
      <c r="M30" s="199"/>
      <c r="N30" s="199"/>
      <c r="O30" s="46" t="e">
        <f ca="1">VLOOKUP(A30,#REF!,11,0)</f>
        <v>#REF!</v>
      </c>
      <c r="P30" s="38"/>
      <c r="Q30" s="38"/>
      <c r="R30" s="42" t="e">
        <f ca="1">VLOOKUP(A30,#REF!,19,0)</f>
        <v>#REF!</v>
      </c>
      <c r="S30" s="42" t="e">
        <f ca="1">VLOOKUP(A30,#REF!,20,0)</f>
        <v>#REF!</v>
      </c>
      <c r="T30" s="42" t="e">
        <f ca="1">VLOOKUP(A30,#REF!,21,0)</f>
        <v>#REF!</v>
      </c>
      <c r="U30" s="42" t="e">
        <f ca="1">VLOOKUP(A30,#REF!,22,0)</f>
        <v>#REF!</v>
      </c>
      <c r="V30" s="42" t="e">
        <f ca="1">VLOOKUP(A30,#REF!,23,0)</f>
        <v>#REF!</v>
      </c>
      <c r="W30" s="42" t="e">
        <f t="shared" ca="1" si="0"/>
        <v>#REF!</v>
      </c>
      <c r="X30" s="43"/>
      <c r="Y30" s="44" t="e">
        <f t="shared" ref="Y30:AC30" ca="1" si="29">R30/$W30*$AD30</f>
        <v>#REF!</v>
      </c>
      <c r="Z30" s="44" t="e">
        <f t="shared" ca="1" si="29"/>
        <v>#REF!</v>
      </c>
      <c r="AA30" s="44" t="e">
        <f t="shared" ca="1" si="29"/>
        <v>#REF!</v>
      </c>
      <c r="AB30" s="44" t="e">
        <f t="shared" ca="1" si="29"/>
        <v>#REF!</v>
      </c>
      <c r="AC30" s="44" t="e">
        <f t="shared" ca="1" si="29"/>
        <v>#REF!</v>
      </c>
      <c r="AD30" s="44" t="e">
        <f t="shared" ca="1" si="2"/>
        <v>#REF!</v>
      </c>
      <c r="AE30" s="38"/>
    </row>
    <row r="31" spans="1:31" ht="15.75" customHeight="1" x14ac:dyDescent="0.15">
      <c r="A31" s="35" t="str">
        <f ca="1">IFERROR(__xludf.DUMMYFUNCTION("""COMPUTED_VALUE"""),"ba")</f>
        <v>ba</v>
      </c>
      <c r="B31" s="36" t="str">
        <f ca="1">IFERROR(__xludf.DUMMYFUNCTION("""COMPUTED_VALUE"""),"Bosnia and Herzegovina")</f>
        <v>Bosnia and Herzegovina</v>
      </c>
      <c r="C31" s="200">
        <f ca="1">IFERROR(__xludf.DUMMYFUNCTION("""COMPUTED_VALUE"""),41.17)</f>
        <v>41.17</v>
      </c>
      <c r="D31" s="201"/>
      <c r="E31" s="201"/>
      <c r="F31" s="202"/>
      <c r="G31" s="37" t="e">
        <f ca="1">VLOOKUP(A31,#REF!,11,0)</f>
        <v>#REF!</v>
      </c>
      <c r="H31" s="38"/>
      <c r="I31" s="45" t="str">
        <f ca="1">IFERROR(__xludf.DUMMYFUNCTION("""COMPUTED_VALUE"""),"ba")</f>
        <v>ba</v>
      </c>
      <c r="J31" s="38" t="str">
        <f ca="1">IFERROR(__xludf.DUMMYFUNCTION("""COMPUTED_VALUE"""),"Bosnia and Herzegovina")</f>
        <v>Bosnia and Herzegovina</v>
      </c>
      <c r="K31" s="204">
        <f ca="1">IFERROR(__xludf.DUMMYFUNCTION("""COMPUTED_VALUE"""),41.17)</f>
        <v>41.17</v>
      </c>
      <c r="L31" s="199"/>
      <c r="M31" s="199"/>
      <c r="N31" s="199"/>
      <c r="O31" s="46" t="e">
        <f ca="1">VLOOKUP(A31,#REF!,11,0)</f>
        <v>#REF!</v>
      </c>
      <c r="P31" s="38"/>
      <c r="Q31" s="38"/>
      <c r="R31" s="42" t="e">
        <f ca="1">VLOOKUP(A31,#REF!,19,0)</f>
        <v>#REF!</v>
      </c>
      <c r="S31" s="42" t="e">
        <f ca="1">VLOOKUP(A31,#REF!,20,0)</f>
        <v>#REF!</v>
      </c>
      <c r="T31" s="42" t="e">
        <f ca="1">VLOOKUP(A31,#REF!,21,0)</f>
        <v>#REF!</v>
      </c>
      <c r="U31" s="42" t="e">
        <f ca="1">VLOOKUP(A31,#REF!,22,0)</f>
        <v>#REF!</v>
      </c>
      <c r="V31" s="42" t="e">
        <f ca="1">VLOOKUP(A31,#REF!,23,0)</f>
        <v>#REF!</v>
      </c>
      <c r="W31" s="42" t="e">
        <f t="shared" ca="1" si="0"/>
        <v>#REF!</v>
      </c>
      <c r="X31" s="43"/>
      <c r="Y31" s="44" t="e">
        <f t="shared" ref="Y31:AC31" ca="1" si="30">R31/$W31*$AD31</f>
        <v>#REF!</v>
      </c>
      <c r="Z31" s="44" t="e">
        <f t="shared" ca="1" si="30"/>
        <v>#REF!</v>
      </c>
      <c r="AA31" s="44" t="e">
        <f t="shared" ca="1" si="30"/>
        <v>#REF!</v>
      </c>
      <c r="AB31" s="44" t="e">
        <f t="shared" ca="1" si="30"/>
        <v>#REF!</v>
      </c>
      <c r="AC31" s="44" t="e">
        <f t="shared" ca="1" si="30"/>
        <v>#REF!</v>
      </c>
      <c r="AD31" s="44" t="e">
        <f t="shared" ca="1" si="2"/>
        <v>#REF!</v>
      </c>
      <c r="AE31" s="38"/>
    </row>
    <row r="32" spans="1:31" ht="15.75" customHeight="1" x14ac:dyDescent="0.15">
      <c r="A32" s="35" t="str">
        <f ca="1">IFERROR(__xludf.DUMMYFUNCTION("""COMPUTED_VALUE"""),"bg")</f>
        <v>bg</v>
      </c>
      <c r="B32" s="36" t="str">
        <f ca="1">IFERROR(__xludf.DUMMYFUNCTION("""COMPUTED_VALUE"""),"Bulgaria")</f>
        <v>Bulgaria</v>
      </c>
      <c r="C32" s="200">
        <f ca="1">IFERROR(__xludf.DUMMYFUNCTION("""COMPUTED_VALUE"""),41.17)</f>
        <v>41.17</v>
      </c>
      <c r="D32" s="201"/>
      <c r="E32" s="201"/>
      <c r="F32" s="202"/>
      <c r="G32" s="37" t="e">
        <f ca="1">VLOOKUP(A32,#REF!,11,0)</f>
        <v>#REF!</v>
      </c>
      <c r="H32" s="38"/>
      <c r="I32" s="45" t="str">
        <f ca="1">IFERROR(__xludf.DUMMYFUNCTION("""COMPUTED_VALUE"""),"bg")</f>
        <v>bg</v>
      </c>
      <c r="J32" s="38" t="str">
        <f ca="1">IFERROR(__xludf.DUMMYFUNCTION("""COMPUTED_VALUE"""),"Bulgaria")</f>
        <v>Bulgaria</v>
      </c>
      <c r="K32" s="204">
        <f ca="1">IFERROR(__xludf.DUMMYFUNCTION("""COMPUTED_VALUE"""),41.17)</f>
        <v>41.17</v>
      </c>
      <c r="L32" s="199"/>
      <c r="M32" s="199"/>
      <c r="N32" s="199"/>
      <c r="O32" s="46" t="e">
        <f ca="1">VLOOKUP(A32,#REF!,11,0)</f>
        <v>#REF!</v>
      </c>
      <c r="P32" s="38"/>
      <c r="Q32" s="38"/>
      <c r="R32" s="42" t="e">
        <f ca="1">VLOOKUP(A32,#REF!,19,0)</f>
        <v>#REF!</v>
      </c>
      <c r="S32" s="42" t="e">
        <f ca="1">VLOOKUP(A32,#REF!,20,0)</f>
        <v>#REF!</v>
      </c>
      <c r="T32" s="42" t="e">
        <f ca="1">VLOOKUP(A32,#REF!,21,0)</f>
        <v>#REF!</v>
      </c>
      <c r="U32" s="42" t="e">
        <f ca="1">VLOOKUP(A32,#REF!,22,0)</f>
        <v>#REF!</v>
      </c>
      <c r="V32" s="42" t="e">
        <f ca="1">VLOOKUP(A32,#REF!,23,0)</f>
        <v>#REF!</v>
      </c>
      <c r="W32" s="42" t="e">
        <f t="shared" ca="1" si="0"/>
        <v>#REF!</v>
      </c>
      <c r="X32" s="43"/>
      <c r="Y32" s="44" t="e">
        <f t="shared" ref="Y32:AC32" ca="1" si="31">R32/$W32*$AD32</f>
        <v>#REF!</v>
      </c>
      <c r="Z32" s="44" t="e">
        <f t="shared" ca="1" si="31"/>
        <v>#REF!</v>
      </c>
      <c r="AA32" s="44" t="e">
        <f t="shared" ca="1" si="31"/>
        <v>#REF!</v>
      </c>
      <c r="AB32" s="44" t="e">
        <f t="shared" ca="1" si="31"/>
        <v>#REF!</v>
      </c>
      <c r="AC32" s="44" t="e">
        <f t="shared" ca="1" si="31"/>
        <v>#REF!</v>
      </c>
      <c r="AD32" s="44" t="e">
        <f t="shared" ca="1" si="2"/>
        <v>#REF!</v>
      </c>
      <c r="AE32" s="38"/>
    </row>
    <row r="33" spans="1:31" ht="15.75" customHeight="1" x14ac:dyDescent="0.15">
      <c r="A33" s="35" t="str">
        <f ca="1">IFERROR(__xludf.DUMMYFUNCTION("""COMPUTED_VALUE"""),"me")</f>
        <v>me</v>
      </c>
      <c r="B33" s="36" t="str">
        <f ca="1">IFERROR(__xludf.DUMMYFUNCTION("""COMPUTED_VALUE"""),"Montenegro")</f>
        <v>Montenegro</v>
      </c>
      <c r="C33" s="200">
        <f ca="1">IFERROR(__xludf.DUMMYFUNCTION("""COMPUTED_VALUE"""),41.17)</f>
        <v>41.17</v>
      </c>
      <c r="D33" s="201"/>
      <c r="E33" s="201"/>
      <c r="F33" s="202"/>
      <c r="G33" s="37" t="e">
        <f ca="1">VLOOKUP(A33,#REF!,11,0)</f>
        <v>#REF!</v>
      </c>
      <c r="H33" s="38"/>
      <c r="I33" s="45" t="str">
        <f ca="1">IFERROR(__xludf.DUMMYFUNCTION("""COMPUTED_VALUE"""),"me")</f>
        <v>me</v>
      </c>
      <c r="J33" s="38" t="str">
        <f ca="1">IFERROR(__xludf.DUMMYFUNCTION("""COMPUTED_VALUE"""),"Montenegro")</f>
        <v>Montenegro</v>
      </c>
      <c r="K33" s="204">
        <f ca="1">IFERROR(__xludf.DUMMYFUNCTION("""COMPUTED_VALUE"""),41.17)</f>
        <v>41.17</v>
      </c>
      <c r="L33" s="199"/>
      <c r="M33" s="199"/>
      <c r="N33" s="199"/>
      <c r="O33" s="46" t="e">
        <f ca="1">VLOOKUP(A33,#REF!,11,0)</f>
        <v>#REF!</v>
      </c>
      <c r="P33" s="38"/>
      <c r="Q33" s="38"/>
      <c r="R33" s="42" t="e">
        <f ca="1">VLOOKUP(A33,#REF!,19,0)</f>
        <v>#REF!</v>
      </c>
      <c r="S33" s="42" t="e">
        <f ca="1">VLOOKUP(A33,#REF!,20,0)</f>
        <v>#REF!</v>
      </c>
      <c r="T33" s="42" t="e">
        <f ca="1">VLOOKUP(A33,#REF!,21,0)</f>
        <v>#REF!</v>
      </c>
      <c r="U33" s="42" t="e">
        <f ca="1">VLOOKUP(A33,#REF!,22,0)</f>
        <v>#REF!</v>
      </c>
      <c r="V33" s="42" t="e">
        <f ca="1">VLOOKUP(A33,#REF!,23,0)</f>
        <v>#REF!</v>
      </c>
      <c r="W33" s="42" t="e">
        <f t="shared" ca="1" si="0"/>
        <v>#REF!</v>
      </c>
      <c r="X33" s="43"/>
      <c r="Y33" s="44" t="e">
        <f t="shared" ref="Y33:AC33" ca="1" si="32">R33/$W33*$AD33</f>
        <v>#REF!</v>
      </c>
      <c r="Z33" s="44" t="e">
        <f t="shared" ca="1" si="32"/>
        <v>#REF!</v>
      </c>
      <c r="AA33" s="44" t="e">
        <f t="shared" ca="1" si="32"/>
        <v>#REF!</v>
      </c>
      <c r="AB33" s="44" t="e">
        <f t="shared" ca="1" si="32"/>
        <v>#REF!</v>
      </c>
      <c r="AC33" s="44" t="e">
        <f t="shared" ca="1" si="32"/>
        <v>#REF!</v>
      </c>
      <c r="AD33" s="44" t="e">
        <f t="shared" ca="1" si="2"/>
        <v>#REF!</v>
      </c>
      <c r="AE33" s="38"/>
    </row>
    <row r="34" spans="1:31" ht="15.75" customHeight="1" x14ac:dyDescent="0.15">
      <c r="A34" s="35" t="str">
        <f ca="1">IFERROR(__xludf.DUMMYFUNCTION("""COMPUTED_VALUE"""),"mk")</f>
        <v>mk</v>
      </c>
      <c r="B34" s="36" t="str">
        <f ca="1">IFERROR(__xludf.DUMMYFUNCTION("""COMPUTED_VALUE"""),"North Macedonia")</f>
        <v>North Macedonia</v>
      </c>
      <c r="C34" s="200">
        <f ca="1">IFERROR(__xludf.DUMMYFUNCTION("""COMPUTED_VALUE"""),41.17)</f>
        <v>41.17</v>
      </c>
      <c r="D34" s="201"/>
      <c r="E34" s="201"/>
      <c r="F34" s="202"/>
      <c r="G34" s="37" t="e">
        <f ca="1">VLOOKUP(A34,#REF!,11,0)</f>
        <v>#REF!</v>
      </c>
      <c r="H34" s="38"/>
      <c r="I34" s="45" t="str">
        <f ca="1">IFERROR(__xludf.DUMMYFUNCTION("""COMPUTED_VALUE"""),"mk")</f>
        <v>mk</v>
      </c>
      <c r="J34" s="38" t="str">
        <f ca="1">IFERROR(__xludf.DUMMYFUNCTION("""COMPUTED_VALUE"""),"North Macedonia")</f>
        <v>North Macedonia</v>
      </c>
      <c r="K34" s="204">
        <f ca="1">IFERROR(__xludf.DUMMYFUNCTION("""COMPUTED_VALUE"""),41.17)</f>
        <v>41.17</v>
      </c>
      <c r="L34" s="199"/>
      <c r="M34" s="199"/>
      <c r="N34" s="199"/>
      <c r="O34" s="46" t="e">
        <f ca="1">VLOOKUP(A34,#REF!,11,0)</f>
        <v>#REF!</v>
      </c>
      <c r="P34" s="38"/>
      <c r="Q34" s="38"/>
      <c r="R34" s="42" t="e">
        <f ca="1">VLOOKUP(A34,#REF!,19,0)</f>
        <v>#REF!</v>
      </c>
      <c r="S34" s="42" t="e">
        <f ca="1">VLOOKUP(A34,#REF!,20,0)</f>
        <v>#REF!</v>
      </c>
      <c r="T34" s="42" t="e">
        <f ca="1">VLOOKUP(A34,#REF!,21,0)</f>
        <v>#REF!</v>
      </c>
      <c r="U34" s="42" t="e">
        <f ca="1">VLOOKUP(A34,#REF!,22,0)</f>
        <v>#REF!</v>
      </c>
      <c r="V34" s="42" t="e">
        <f ca="1">VLOOKUP(A34,#REF!,23,0)</f>
        <v>#REF!</v>
      </c>
      <c r="W34" s="42" t="e">
        <f t="shared" ca="1" si="0"/>
        <v>#REF!</v>
      </c>
      <c r="X34" s="43"/>
      <c r="Y34" s="44" t="e">
        <f t="shared" ref="Y34:AC34" ca="1" si="33">R34/$W34*$AD34</f>
        <v>#REF!</v>
      </c>
      <c r="Z34" s="44" t="e">
        <f t="shared" ca="1" si="33"/>
        <v>#REF!</v>
      </c>
      <c r="AA34" s="44" t="e">
        <f t="shared" ca="1" si="33"/>
        <v>#REF!</v>
      </c>
      <c r="AB34" s="44" t="e">
        <f t="shared" ca="1" si="33"/>
        <v>#REF!</v>
      </c>
      <c r="AC34" s="44" t="e">
        <f t="shared" ca="1" si="33"/>
        <v>#REF!</v>
      </c>
      <c r="AD34" s="44" t="e">
        <f t="shared" ca="1" si="2"/>
        <v>#REF!</v>
      </c>
      <c r="AE34" s="38"/>
    </row>
    <row r="35" spans="1:31" ht="15.75" customHeight="1" x14ac:dyDescent="0.15">
      <c r="A35" s="35" t="str">
        <f ca="1">IFERROR(__xludf.DUMMYFUNCTION("""COMPUTED_VALUE"""),"au")</f>
        <v>au</v>
      </c>
      <c r="B35" s="36" t="str">
        <f ca="1">IFERROR(__xludf.DUMMYFUNCTION("""COMPUTED_VALUE"""),"Australia")</f>
        <v>Australia</v>
      </c>
      <c r="C35" s="200">
        <f ca="1">IFERROR(__xludf.DUMMYFUNCTION("""COMPUTED_VALUE"""),40.77)</f>
        <v>40.770000000000003</v>
      </c>
      <c r="D35" s="201"/>
      <c r="E35" s="201"/>
      <c r="F35" s="202"/>
      <c r="G35" s="37" t="e">
        <f ca="1">VLOOKUP(A35,#REF!,11,0)</f>
        <v>#REF!</v>
      </c>
      <c r="H35" s="38"/>
      <c r="I35" s="45" t="str">
        <f ca="1">IFERROR(__xludf.DUMMYFUNCTION("""COMPUTED_VALUE"""),"au")</f>
        <v>au</v>
      </c>
      <c r="J35" s="38" t="str">
        <f ca="1">IFERROR(__xludf.DUMMYFUNCTION("""COMPUTED_VALUE"""),"Australia")</f>
        <v>Australia</v>
      </c>
      <c r="K35" s="204">
        <f ca="1">IFERROR(__xludf.DUMMYFUNCTION("""COMPUTED_VALUE"""),40.77)</f>
        <v>40.770000000000003</v>
      </c>
      <c r="L35" s="199"/>
      <c r="M35" s="199"/>
      <c r="N35" s="199"/>
      <c r="O35" s="46" t="e">
        <f ca="1">VLOOKUP(A35,#REF!,11,0)</f>
        <v>#REF!</v>
      </c>
      <c r="P35" s="38"/>
      <c r="Q35" s="38"/>
      <c r="R35" s="42" t="e">
        <f ca="1">VLOOKUP(A35,#REF!,19,0)</f>
        <v>#REF!</v>
      </c>
      <c r="S35" s="42" t="e">
        <f ca="1">VLOOKUP(A35,#REF!,20,0)</f>
        <v>#REF!</v>
      </c>
      <c r="T35" s="42" t="e">
        <f ca="1">VLOOKUP(A35,#REF!,21,0)</f>
        <v>#REF!</v>
      </c>
      <c r="U35" s="42" t="e">
        <f ca="1">VLOOKUP(A35,#REF!,22,0)</f>
        <v>#REF!</v>
      </c>
      <c r="V35" s="42" t="e">
        <f ca="1">VLOOKUP(A35,#REF!,23,0)</f>
        <v>#REF!</v>
      </c>
      <c r="W35" s="42" t="e">
        <f t="shared" ca="1" si="0"/>
        <v>#REF!</v>
      </c>
      <c r="X35" s="43"/>
      <c r="Y35" s="44" t="e">
        <f t="shared" ref="Y35:AC35" ca="1" si="34">R35/$W35*$AD35</f>
        <v>#REF!</v>
      </c>
      <c r="Z35" s="44" t="e">
        <f t="shared" ca="1" si="34"/>
        <v>#REF!</v>
      </c>
      <c r="AA35" s="44" t="e">
        <f t="shared" ca="1" si="34"/>
        <v>#REF!</v>
      </c>
      <c r="AB35" s="44" t="e">
        <f t="shared" ca="1" si="34"/>
        <v>#REF!</v>
      </c>
      <c r="AC35" s="44" t="e">
        <f t="shared" ca="1" si="34"/>
        <v>#REF!</v>
      </c>
      <c r="AD35" s="44" t="e">
        <f t="shared" ca="1" si="2"/>
        <v>#REF!</v>
      </c>
      <c r="AE35" s="38"/>
    </row>
    <row r="36" spans="1:31" ht="15.75" customHeight="1" x14ac:dyDescent="0.15">
      <c r="A36" s="35" t="str">
        <f ca="1">IFERROR(__xludf.DUMMYFUNCTION("""COMPUTED_VALUE"""),"mx")</f>
        <v>mx</v>
      </c>
      <c r="B36" s="36" t="str">
        <f ca="1">IFERROR(__xludf.DUMMYFUNCTION("""COMPUTED_VALUE"""),"Mexico")</f>
        <v>Mexico</v>
      </c>
      <c r="C36" s="200">
        <f ca="1">IFERROR(__xludf.DUMMYFUNCTION("""COMPUTED_VALUE"""),39.89)</f>
        <v>39.89</v>
      </c>
      <c r="D36" s="201"/>
      <c r="E36" s="201"/>
      <c r="F36" s="202"/>
      <c r="G36" s="37" t="e">
        <f ca="1">VLOOKUP(A36,#REF!,11,0)</f>
        <v>#REF!</v>
      </c>
      <c r="H36" s="38"/>
      <c r="I36" s="45" t="str">
        <f ca="1">IFERROR(__xludf.DUMMYFUNCTION("""COMPUTED_VALUE"""),"mx")</f>
        <v>mx</v>
      </c>
      <c r="J36" s="38" t="str">
        <f ca="1">IFERROR(__xludf.DUMMYFUNCTION("""COMPUTED_VALUE"""),"Mexico")</f>
        <v>Mexico</v>
      </c>
      <c r="K36" s="204">
        <f ca="1">IFERROR(__xludf.DUMMYFUNCTION("""COMPUTED_VALUE"""),39.89)</f>
        <v>39.89</v>
      </c>
      <c r="L36" s="199"/>
      <c r="M36" s="199"/>
      <c r="N36" s="199"/>
      <c r="O36" s="46" t="e">
        <f ca="1">VLOOKUP(A36,#REF!,11,0)</f>
        <v>#REF!</v>
      </c>
      <c r="P36" s="38"/>
      <c r="Q36" s="38"/>
      <c r="R36" s="42" t="e">
        <f ca="1">VLOOKUP(A36,#REF!,19,0)</f>
        <v>#REF!</v>
      </c>
      <c r="S36" s="42" t="e">
        <f ca="1">VLOOKUP(A36,#REF!,20,0)</f>
        <v>#REF!</v>
      </c>
      <c r="T36" s="42" t="e">
        <f ca="1">VLOOKUP(A36,#REF!,21,0)</f>
        <v>#REF!</v>
      </c>
      <c r="U36" s="42" t="e">
        <f ca="1">VLOOKUP(A36,#REF!,22,0)</f>
        <v>#REF!</v>
      </c>
      <c r="V36" s="42" t="e">
        <f ca="1">VLOOKUP(A36,#REF!,23,0)</f>
        <v>#REF!</v>
      </c>
      <c r="W36" s="42" t="e">
        <f t="shared" ca="1" si="0"/>
        <v>#REF!</v>
      </c>
      <c r="X36" s="43"/>
      <c r="Y36" s="44" t="e">
        <f t="shared" ref="Y36:AC36" ca="1" si="35">R36/$W36*$AD36</f>
        <v>#REF!</v>
      </c>
      <c r="Z36" s="44" t="e">
        <f t="shared" ca="1" si="35"/>
        <v>#REF!</v>
      </c>
      <c r="AA36" s="44" t="e">
        <f t="shared" ca="1" si="35"/>
        <v>#REF!</v>
      </c>
      <c r="AB36" s="44" t="e">
        <f t="shared" ca="1" si="35"/>
        <v>#REF!</v>
      </c>
      <c r="AC36" s="44" t="e">
        <f t="shared" ca="1" si="35"/>
        <v>#REF!</v>
      </c>
      <c r="AD36" s="44" t="e">
        <f t="shared" ca="1" si="2"/>
        <v>#REF!</v>
      </c>
      <c r="AE36" s="38"/>
    </row>
    <row r="37" spans="1:31" ht="15.75" customHeight="1" x14ac:dyDescent="0.15">
      <c r="A37" s="35" t="str">
        <f ca="1">IFERROR(__xludf.DUMMYFUNCTION("""COMPUTED_VALUE"""),"sa")</f>
        <v>sa</v>
      </c>
      <c r="B37" s="36" t="str">
        <f ca="1">IFERROR(__xludf.DUMMYFUNCTION("""COMPUTED_VALUE"""),"Saudi Arabia")</f>
        <v>Saudi Arabia</v>
      </c>
      <c r="C37" s="200">
        <f ca="1">IFERROR(__xludf.DUMMYFUNCTION("""COMPUTED_VALUE"""),39.85)</f>
        <v>39.85</v>
      </c>
      <c r="D37" s="201"/>
      <c r="E37" s="201"/>
      <c r="F37" s="202"/>
      <c r="G37" s="37" t="e">
        <f ca="1">VLOOKUP(A37,#REF!,11,0)</f>
        <v>#REF!</v>
      </c>
      <c r="H37" s="38"/>
      <c r="I37" s="45" t="str">
        <f ca="1">IFERROR(__xludf.DUMMYFUNCTION("""COMPUTED_VALUE"""),"sa")</f>
        <v>sa</v>
      </c>
      <c r="J37" s="38" t="str">
        <f ca="1">IFERROR(__xludf.DUMMYFUNCTION("""COMPUTED_VALUE"""),"Saudi Arabia")</f>
        <v>Saudi Arabia</v>
      </c>
      <c r="K37" s="204">
        <f ca="1">IFERROR(__xludf.DUMMYFUNCTION("""COMPUTED_VALUE"""),39.85)</f>
        <v>39.85</v>
      </c>
      <c r="L37" s="199"/>
      <c r="M37" s="199"/>
      <c r="N37" s="199"/>
      <c r="O37" s="46" t="e">
        <f ca="1">VLOOKUP(A37,#REF!,11,0)</f>
        <v>#REF!</v>
      </c>
      <c r="P37" s="38"/>
      <c r="Q37" s="38"/>
      <c r="R37" s="42" t="e">
        <f ca="1">VLOOKUP(A37,#REF!,19,0)</f>
        <v>#REF!</v>
      </c>
      <c r="S37" s="42" t="e">
        <f ca="1">VLOOKUP(A37,#REF!,20,0)</f>
        <v>#REF!</v>
      </c>
      <c r="T37" s="42" t="e">
        <f ca="1">VLOOKUP(A37,#REF!,21,0)</f>
        <v>#REF!</v>
      </c>
      <c r="U37" s="42" t="e">
        <f ca="1">VLOOKUP(A37,#REF!,22,0)</f>
        <v>#REF!</v>
      </c>
      <c r="V37" s="42" t="e">
        <f ca="1">VLOOKUP(A37,#REF!,23,0)</f>
        <v>#REF!</v>
      </c>
      <c r="W37" s="42" t="e">
        <f t="shared" ca="1" si="0"/>
        <v>#REF!</v>
      </c>
      <c r="X37" s="43"/>
      <c r="Y37" s="44" t="e">
        <f t="shared" ref="Y37:AC37" ca="1" si="36">R37/$W37*$AD37</f>
        <v>#REF!</v>
      </c>
      <c r="Z37" s="44" t="e">
        <f t="shared" ca="1" si="36"/>
        <v>#REF!</v>
      </c>
      <c r="AA37" s="44" t="e">
        <f t="shared" ca="1" si="36"/>
        <v>#REF!</v>
      </c>
      <c r="AB37" s="44" t="e">
        <f t="shared" ca="1" si="36"/>
        <v>#REF!</v>
      </c>
      <c r="AC37" s="44" t="e">
        <f t="shared" ca="1" si="36"/>
        <v>#REF!</v>
      </c>
      <c r="AD37" s="44" t="e">
        <f t="shared" ca="1" si="2"/>
        <v>#REF!</v>
      </c>
      <c r="AE37" s="38"/>
    </row>
    <row r="38" spans="1:31" ht="15.75" customHeight="1" x14ac:dyDescent="0.15">
      <c r="A38" s="35" t="str">
        <f ca="1">IFERROR(__xludf.DUMMYFUNCTION("""COMPUTED_VALUE"""),"kr")</f>
        <v>kr</v>
      </c>
      <c r="B38" s="36" t="str">
        <f ca="1">IFERROR(__xludf.DUMMYFUNCTION("""COMPUTED_VALUE"""),"South Korea")</f>
        <v>South Korea</v>
      </c>
      <c r="C38" s="200">
        <f ca="1">IFERROR(__xludf.DUMMYFUNCTION("""COMPUTED_VALUE"""),39.47)</f>
        <v>39.47</v>
      </c>
      <c r="D38" s="201"/>
      <c r="E38" s="201"/>
      <c r="F38" s="202"/>
      <c r="G38" s="37" t="e">
        <f ca="1">VLOOKUP(A38,#REF!,11,0)</f>
        <v>#REF!</v>
      </c>
      <c r="H38" s="38"/>
      <c r="I38" s="45" t="str">
        <f ca="1">IFERROR(__xludf.DUMMYFUNCTION("""COMPUTED_VALUE"""),"kr")</f>
        <v>kr</v>
      </c>
      <c r="J38" s="38" t="str">
        <f ca="1">IFERROR(__xludf.DUMMYFUNCTION("""COMPUTED_VALUE"""),"South Korea")</f>
        <v>South Korea</v>
      </c>
      <c r="K38" s="204">
        <f ca="1">IFERROR(__xludf.DUMMYFUNCTION("""COMPUTED_VALUE"""),39.47)</f>
        <v>39.47</v>
      </c>
      <c r="L38" s="199"/>
      <c r="M38" s="199"/>
      <c r="N38" s="199"/>
      <c r="O38" s="46" t="e">
        <f ca="1">VLOOKUP(A38,#REF!,11,0)</f>
        <v>#REF!</v>
      </c>
      <c r="P38" s="38"/>
      <c r="Q38" s="38"/>
      <c r="R38" s="42" t="e">
        <f ca="1">VLOOKUP(A38,#REF!,19,0)</f>
        <v>#REF!</v>
      </c>
      <c r="S38" s="42" t="e">
        <f ca="1">VLOOKUP(A38,#REF!,20,0)</f>
        <v>#REF!</v>
      </c>
      <c r="T38" s="42" t="e">
        <f ca="1">VLOOKUP(A38,#REF!,21,0)</f>
        <v>#REF!</v>
      </c>
      <c r="U38" s="42" t="e">
        <f ca="1">VLOOKUP(A38,#REF!,22,0)</f>
        <v>#REF!</v>
      </c>
      <c r="V38" s="42" t="e">
        <f ca="1">VLOOKUP(A38,#REF!,23,0)</f>
        <v>#REF!</v>
      </c>
      <c r="W38" s="42" t="e">
        <f t="shared" ca="1" si="0"/>
        <v>#REF!</v>
      </c>
      <c r="X38" s="43"/>
      <c r="Y38" s="44" t="e">
        <f t="shared" ref="Y38:AC38" ca="1" si="37">R38/$W38*$AD38</f>
        <v>#REF!</v>
      </c>
      <c r="Z38" s="44" t="e">
        <f t="shared" ca="1" si="37"/>
        <v>#REF!</v>
      </c>
      <c r="AA38" s="44" t="e">
        <f t="shared" ca="1" si="37"/>
        <v>#REF!</v>
      </c>
      <c r="AB38" s="44" t="e">
        <f t="shared" ca="1" si="37"/>
        <v>#REF!</v>
      </c>
      <c r="AC38" s="44" t="e">
        <f t="shared" ca="1" si="37"/>
        <v>#REF!</v>
      </c>
      <c r="AD38" s="44" t="e">
        <f t="shared" ca="1" si="2"/>
        <v>#REF!</v>
      </c>
      <c r="AE38" s="38"/>
    </row>
    <row r="39" spans="1:31" ht="13" x14ac:dyDescent="0.15">
      <c r="A39" s="35" t="str">
        <f ca="1">IFERROR(__xludf.DUMMYFUNCTION("""COMPUTED_VALUE"""),"sg")</f>
        <v>sg</v>
      </c>
      <c r="B39" s="36" t="str">
        <f ca="1">IFERROR(__xludf.DUMMYFUNCTION("""COMPUTED_VALUE"""),"Singapore")</f>
        <v>Singapore</v>
      </c>
      <c r="C39" s="200">
        <f ca="1">IFERROR(__xludf.DUMMYFUNCTION("""COMPUTED_VALUE"""),39.02)</f>
        <v>39.020000000000003</v>
      </c>
      <c r="D39" s="201"/>
      <c r="E39" s="201"/>
      <c r="F39" s="202"/>
      <c r="G39" s="37" t="e">
        <f ca="1">VLOOKUP(A39,#REF!,11,0)</f>
        <v>#REF!</v>
      </c>
      <c r="H39" s="38"/>
      <c r="I39" s="45" t="str">
        <f ca="1">IFERROR(__xludf.DUMMYFUNCTION("""COMPUTED_VALUE"""),"sg")</f>
        <v>sg</v>
      </c>
      <c r="J39" s="38" t="str">
        <f ca="1">IFERROR(__xludf.DUMMYFUNCTION("""COMPUTED_VALUE"""),"Singapore")</f>
        <v>Singapore</v>
      </c>
      <c r="K39" s="204">
        <f ca="1">IFERROR(__xludf.DUMMYFUNCTION("""COMPUTED_VALUE"""),39.02)</f>
        <v>39.020000000000003</v>
      </c>
      <c r="L39" s="199"/>
      <c r="M39" s="199"/>
      <c r="N39" s="199"/>
      <c r="O39" s="46" t="e">
        <f ca="1">VLOOKUP(A39,#REF!,11,0)</f>
        <v>#REF!</v>
      </c>
      <c r="P39" s="38"/>
      <c r="Q39" s="38"/>
      <c r="R39" s="42" t="e">
        <f ca="1">VLOOKUP(A39,#REF!,19,0)</f>
        <v>#REF!</v>
      </c>
      <c r="S39" s="42" t="e">
        <f ca="1">VLOOKUP(A39,#REF!,20,0)</f>
        <v>#REF!</v>
      </c>
      <c r="T39" s="42" t="e">
        <f ca="1">VLOOKUP(A39,#REF!,21,0)</f>
        <v>#REF!</v>
      </c>
      <c r="U39" s="42" t="e">
        <f ca="1">VLOOKUP(A39,#REF!,22,0)</f>
        <v>#REF!</v>
      </c>
      <c r="V39" s="42" t="e">
        <f ca="1">VLOOKUP(A39,#REF!,23,0)</f>
        <v>#REF!</v>
      </c>
      <c r="W39" s="42" t="e">
        <f t="shared" ca="1" si="0"/>
        <v>#REF!</v>
      </c>
      <c r="X39" s="43"/>
      <c r="Y39" s="44" t="e">
        <f t="shared" ref="Y39:AC39" ca="1" si="38">R39/$W39*$AD39</f>
        <v>#REF!</v>
      </c>
      <c r="Z39" s="44" t="e">
        <f t="shared" ca="1" si="38"/>
        <v>#REF!</v>
      </c>
      <c r="AA39" s="44" t="e">
        <f t="shared" ca="1" si="38"/>
        <v>#REF!</v>
      </c>
      <c r="AB39" s="44" t="e">
        <f t="shared" ca="1" si="38"/>
        <v>#REF!</v>
      </c>
      <c r="AC39" s="44" t="e">
        <f t="shared" ca="1" si="38"/>
        <v>#REF!</v>
      </c>
      <c r="AD39" s="44" t="e">
        <f t="shared" ca="1" si="2"/>
        <v>#REF!</v>
      </c>
      <c r="AE39" s="38"/>
    </row>
    <row r="40" spans="1:31" ht="13" x14ac:dyDescent="0.15">
      <c r="A40" s="35" t="str">
        <f ca="1">IFERROR(__xludf.DUMMYFUNCTION("""COMPUTED_VALUE"""),"ua")</f>
        <v>ua</v>
      </c>
      <c r="B40" s="36" t="str">
        <f ca="1">IFERROR(__xludf.DUMMYFUNCTION("""COMPUTED_VALUE"""),"Ukraine")</f>
        <v>Ukraine</v>
      </c>
      <c r="C40" s="200">
        <f ca="1">IFERROR(__xludf.DUMMYFUNCTION("""COMPUTED_VALUE"""),38.78)</f>
        <v>38.78</v>
      </c>
      <c r="D40" s="201"/>
      <c r="E40" s="201"/>
      <c r="F40" s="202"/>
      <c r="G40" s="37" t="e">
        <f ca="1">VLOOKUP(A40,#REF!,11,0)</f>
        <v>#REF!</v>
      </c>
      <c r="H40" s="38"/>
      <c r="I40" s="45" t="str">
        <f ca="1">IFERROR(__xludf.DUMMYFUNCTION("""COMPUTED_VALUE"""),"ua")</f>
        <v>ua</v>
      </c>
      <c r="J40" s="38" t="str">
        <f ca="1">IFERROR(__xludf.DUMMYFUNCTION("""COMPUTED_VALUE"""),"Ukraine")</f>
        <v>Ukraine</v>
      </c>
      <c r="K40" s="204">
        <f ca="1">IFERROR(__xludf.DUMMYFUNCTION("""COMPUTED_VALUE"""),38.78)</f>
        <v>38.78</v>
      </c>
      <c r="L40" s="199"/>
      <c r="M40" s="199"/>
      <c r="N40" s="199"/>
      <c r="O40" s="46" t="e">
        <f ca="1">VLOOKUP(A40,#REF!,11,0)</f>
        <v>#REF!</v>
      </c>
      <c r="P40" s="38"/>
      <c r="Q40" s="38"/>
      <c r="R40" s="42" t="e">
        <f ca="1">VLOOKUP(A40,#REF!,19,0)</f>
        <v>#REF!</v>
      </c>
      <c r="S40" s="42" t="e">
        <f ca="1">VLOOKUP(A40,#REF!,20,0)</f>
        <v>#REF!</v>
      </c>
      <c r="T40" s="42" t="e">
        <f ca="1">VLOOKUP(A40,#REF!,21,0)</f>
        <v>#REF!</v>
      </c>
      <c r="U40" s="42" t="e">
        <f ca="1">VLOOKUP(A40,#REF!,22,0)</f>
        <v>#REF!</v>
      </c>
      <c r="V40" s="42" t="e">
        <f ca="1">VLOOKUP(A40,#REF!,23,0)</f>
        <v>#REF!</v>
      </c>
      <c r="W40" s="42" t="e">
        <f t="shared" ca="1" si="0"/>
        <v>#REF!</v>
      </c>
      <c r="X40" s="43"/>
      <c r="Y40" s="44" t="e">
        <f t="shared" ref="Y40:AC40" ca="1" si="39">R40/$W40*$AD40</f>
        <v>#REF!</v>
      </c>
      <c r="Z40" s="44" t="e">
        <f t="shared" ca="1" si="39"/>
        <v>#REF!</v>
      </c>
      <c r="AA40" s="44" t="e">
        <f t="shared" ca="1" si="39"/>
        <v>#REF!</v>
      </c>
      <c r="AB40" s="44" t="e">
        <f t="shared" ca="1" si="39"/>
        <v>#REF!</v>
      </c>
      <c r="AC40" s="44" t="e">
        <f t="shared" ca="1" si="39"/>
        <v>#REF!</v>
      </c>
      <c r="AD40" s="44" t="e">
        <f t="shared" ca="1" si="2"/>
        <v>#REF!</v>
      </c>
      <c r="AE40" s="38"/>
    </row>
    <row r="41" spans="1:31" ht="13" x14ac:dyDescent="0.15">
      <c r="A41" s="35" t="str">
        <f ca="1">IFERROR(__xludf.DUMMYFUNCTION("""COMPUTED_VALUE"""),"pe")</f>
        <v>pe</v>
      </c>
      <c r="B41" s="36" t="str">
        <f ca="1">IFERROR(__xludf.DUMMYFUNCTION("""COMPUTED_VALUE"""),"Peru")</f>
        <v>Peru</v>
      </c>
      <c r="C41" s="200">
        <f ca="1">IFERROR(__xludf.DUMMYFUNCTION("""COMPUTED_VALUE"""),38.63)</f>
        <v>38.630000000000003</v>
      </c>
      <c r="D41" s="201"/>
      <c r="E41" s="201"/>
      <c r="F41" s="202"/>
      <c r="G41" s="37" t="e">
        <f ca="1">VLOOKUP(A41,#REF!,11,0)</f>
        <v>#REF!</v>
      </c>
      <c r="H41" s="38"/>
      <c r="I41" s="45" t="str">
        <f ca="1">IFERROR(__xludf.DUMMYFUNCTION("""COMPUTED_VALUE"""),"pe")</f>
        <v>pe</v>
      </c>
      <c r="J41" s="38" t="str">
        <f ca="1">IFERROR(__xludf.DUMMYFUNCTION("""COMPUTED_VALUE"""),"Peru")</f>
        <v>Peru</v>
      </c>
      <c r="K41" s="204">
        <f ca="1">IFERROR(__xludf.DUMMYFUNCTION("""COMPUTED_VALUE"""),38.63)</f>
        <v>38.630000000000003</v>
      </c>
      <c r="L41" s="199"/>
      <c r="M41" s="199"/>
      <c r="N41" s="199"/>
      <c r="O41" s="46" t="e">
        <f ca="1">VLOOKUP(A41,#REF!,11,0)</f>
        <v>#REF!</v>
      </c>
      <c r="P41" s="38"/>
      <c r="Q41" s="38"/>
      <c r="R41" s="42" t="e">
        <f ca="1">VLOOKUP(A41,#REF!,19,0)</f>
        <v>#REF!</v>
      </c>
      <c r="S41" s="42" t="e">
        <f ca="1">VLOOKUP(A41,#REF!,20,0)</f>
        <v>#REF!</v>
      </c>
      <c r="T41" s="42" t="e">
        <f ca="1">VLOOKUP(A41,#REF!,21,0)</f>
        <v>#REF!</v>
      </c>
      <c r="U41" s="42" t="e">
        <f ca="1">VLOOKUP(A41,#REF!,22,0)</f>
        <v>#REF!</v>
      </c>
      <c r="V41" s="42" t="e">
        <f ca="1">VLOOKUP(A41,#REF!,23,0)</f>
        <v>#REF!</v>
      </c>
      <c r="W41" s="42" t="e">
        <f t="shared" ca="1" si="0"/>
        <v>#REF!</v>
      </c>
      <c r="X41" s="43"/>
      <c r="Y41" s="44" t="e">
        <f t="shared" ref="Y41:AC41" ca="1" si="40">R41/$W41*$AD41</f>
        <v>#REF!</v>
      </c>
      <c r="Z41" s="44" t="e">
        <f t="shared" ca="1" si="40"/>
        <v>#REF!</v>
      </c>
      <c r="AA41" s="44" t="e">
        <f t="shared" ca="1" si="40"/>
        <v>#REF!</v>
      </c>
      <c r="AB41" s="44" t="e">
        <f t="shared" ca="1" si="40"/>
        <v>#REF!</v>
      </c>
      <c r="AC41" s="44" t="e">
        <f t="shared" ca="1" si="40"/>
        <v>#REF!</v>
      </c>
      <c r="AD41" s="44" t="e">
        <f t="shared" ca="1" si="2"/>
        <v>#REF!</v>
      </c>
      <c r="AE41" s="38"/>
    </row>
    <row r="42" spans="1:31" ht="13" x14ac:dyDescent="0.15">
      <c r="A42" s="35" t="str">
        <f ca="1">IFERROR(__xludf.DUMMYFUNCTION("""COMPUTED_VALUE"""),"ro")</f>
        <v>ro</v>
      </c>
      <c r="B42" s="36" t="str">
        <f ca="1">IFERROR(__xludf.DUMMYFUNCTION("""COMPUTED_VALUE"""),"Romania")</f>
        <v>Romania</v>
      </c>
      <c r="C42" s="200">
        <f ca="1">IFERROR(__xludf.DUMMYFUNCTION("""COMPUTED_VALUE"""),38.01)</f>
        <v>38.01</v>
      </c>
      <c r="D42" s="201"/>
      <c r="E42" s="201"/>
      <c r="F42" s="202"/>
      <c r="G42" s="37" t="e">
        <f ca="1">VLOOKUP(A42,#REF!,11,0)</f>
        <v>#REF!</v>
      </c>
      <c r="H42" s="38"/>
      <c r="I42" s="45" t="str">
        <f ca="1">IFERROR(__xludf.DUMMYFUNCTION("""COMPUTED_VALUE"""),"ro")</f>
        <v>ro</v>
      </c>
      <c r="J42" s="38" t="str">
        <f ca="1">IFERROR(__xludf.DUMMYFUNCTION("""COMPUTED_VALUE"""),"Romania")</f>
        <v>Romania</v>
      </c>
      <c r="K42" s="204">
        <f ca="1">IFERROR(__xludf.DUMMYFUNCTION("""COMPUTED_VALUE"""),38.01)</f>
        <v>38.01</v>
      </c>
      <c r="L42" s="199"/>
      <c r="M42" s="199"/>
      <c r="N42" s="199"/>
      <c r="O42" s="46" t="e">
        <f ca="1">VLOOKUP(A42,#REF!,11,0)</f>
        <v>#REF!</v>
      </c>
      <c r="P42" s="38"/>
      <c r="Q42" s="38"/>
      <c r="R42" s="42" t="e">
        <f ca="1">VLOOKUP(A42,#REF!,19,0)</f>
        <v>#REF!</v>
      </c>
      <c r="S42" s="42" t="e">
        <f ca="1">VLOOKUP(A42,#REF!,20,0)</f>
        <v>#REF!</v>
      </c>
      <c r="T42" s="42" t="e">
        <f ca="1">VLOOKUP(A42,#REF!,21,0)</f>
        <v>#REF!</v>
      </c>
      <c r="U42" s="42" t="e">
        <f ca="1">VLOOKUP(A42,#REF!,22,0)</f>
        <v>#REF!</v>
      </c>
      <c r="V42" s="42" t="e">
        <f ca="1">VLOOKUP(A42,#REF!,23,0)</f>
        <v>#REF!</v>
      </c>
      <c r="W42" s="42" t="e">
        <f t="shared" ca="1" si="0"/>
        <v>#REF!</v>
      </c>
      <c r="X42" s="43"/>
      <c r="Y42" s="44" t="e">
        <f t="shared" ref="Y42:AC42" ca="1" si="41">R42/$W42*$AD42</f>
        <v>#REF!</v>
      </c>
      <c r="Z42" s="44" t="e">
        <f t="shared" ca="1" si="41"/>
        <v>#REF!</v>
      </c>
      <c r="AA42" s="44" t="e">
        <f t="shared" ca="1" si="41"/>
        <v>#REF!</v>
      </c>
      <c r="AB42" s="44" t="e">
        <f t="shared" ca="1" si="41"/>
        <v>#REF!</v>
      </c>
      <c r="AC42" s="44" t="e">
        <f t="shared" ca="1" si="41"/>
        <v>#REF!</v>
      </c>
      <c r="AD42" s="44" t="e">
        <f t="shared" ca="1" si="2"/>
        <v>#REF!</v>
      </c>
      <c r="AE42" s="38"/>
    </row>
    <row r="43" spans="1:31" ht="13" x14ac:dyDescent="0.15">
      <c r="A43" s="35" t="str">
        <f ca="1">IFERROR(__xludf.DUMMYFUNCTION("""COMPUTED_VALUE"""),"hk")</f>
        <v>hk</v>
      </c>
      <c r="B43" s="36" t="str">
        <f ca="1">IFERROR(__xludf.DUMMYFUNCTION("""COMPUTED_VALUE"""),"Hong Kong")</f>
        <v>Hong Kong</v>
      </c>
      <c r="C43" s="200">
        <f ca="1">IFERROR(__xludf.DUMMYFUNCTION("""COMPUTED_VALUE"""),37.82)</f>
        <v>37.82</v>
      </c>
      <c r="D43" s="201"/>
      <c r="E43" s="201"/>
      <c r="F43" s="202"/>
      <c r="G43" s="37" t="e">
        <f ca="1">VLOOKUP(A43,#REF!,11,0)</f>
        <v>#REF!</v>
      </c>
      <c r="H43" s="38"/>
      <c r="I43" s="45" t="str">
        <f ca="1">IFERROR(__xludf.DUMMYFUNCTION("""COMPUTED_VALUE"""),"hk")</f>
        <v>hk</v>
      </c>
      <c r="J43" s="38" t="str">
        <f ca="1">IFERROR(__xludf.DUMMYFUNCTION("""COMPUTED_VALUE"""),"Hong Kong")</f>
        <v>Hong Kong</v>
      </c>
      <c r="K43" s="204">
        <f ca="1">IFERROR(__xludf.DUMMYFUNCTION("""COMPUTED_VALUE"""),37.82)</f>
        <v>37.82</v>
      </c>
      <c r="L43" s="199"/>
      <c r="M43" s="199"/>
      <c r="N43" s="199"/>
      <c r="O43" s="46" t="e">
        <f ca="1">VLOOKUP(A43,#REF!,11,0)</f>
        <v>#REF!</v>
      </c>
      <c r="P43" s="38"/>
      <c r="Q43" s="38"/>
      <c r="R43" s="42" t="e">
        <f ca="1">VLOOKUP(A43,#REF!,19,0)</f>
        <v>#REF!</v>
      </c>
      <c r="S43" s="42" t="e">
        <f ca="1">VLOOKUP(A43,#REF!,20,0)</f>
        <v>#REF!</v>
      </c>
      <c r="T43" s="42" t="e">
        <f ca="1">VLOOKUP(A43,#REF!,21,0)</f>
        <v>#REF!</v>
      </c>
      <c r="U43" s="42" t="e">
        <f ca="1">VLOOKUP(A43,#REF!,22,0)</f>
        <v>#REF!</v>
      </c>
      <c r="V43" s="42" t="e">
        <f ca="1">VLOOKUP(A43,#REF!,23,0)</f>
        <v>#REF!</v>
      </c>
      <c r="W43" s="42" t="e">
        <f t="shared" ca="1" si="0"/>
        <v>#REF!</v>
      </c>
      <c r="X43" s="43"/>
      <c r="Y43" s="44" t="e">
        <f t="shared" ref="Y43:AC43" ca="1" si="42">R43/$W43*$AD43</f>
        <v>#REF!</v>
      </c>
      <c r="Z43" s="44" t="e">
        <f t="shared" ca="1" si="42"/>
        <v>#REF!</v>
      </c>
      <c r="AA43" s="44" t="e">
        <f t="shared" ca="1" si="42"/>
        <v>#REF!</v>
      </c>
      <c r="AB43" s="44" t="e">
        <f t="shared" ca="1" si="42"/>
        <v>#REF!</v>
      </c>
      <c r="AC43" s="44" t="e">
        <f t="shared" ca="1" si="42"/>
        <v>#REF!</v>
      </c>
      <c r="AD43" s="44" t="e">
        <f t="shared" ca="1" si="2"/>
        <v>#REF!</v>
      </c>
      <c r="AE43" s="38"/>
    </row>
    <row r="44" spans="1:31" ht="13" x14ac:dyDescent="0.15">
      <c r="A44" s="35" t="str">
        <f ca="1">IFERROR(__xludf.DUMMYFUNCTION("""COMPUTED_VALUE"""),"ng")</f>
        <v>ng</v>
      </c>
      <c r="B44" s="36" t="str">
        <f ca="1">IFERROR(__xludf.DUMMYFUNCTION("""COMPUTED_VALUE"""),"Nigeria")</f>
        <v>Nigeria</v>
      </c>
      <c r="C44" s="200">
        <f ca="1">IFERROR(__xludf.DUMMYFUNCTION("""COMPUTED_VALUE"""),37.14)</f>
        <v>37.14</v>
      </c>
      <c r="D44" s="201"/>
      <c r="E44" s="201"/>
      <c r="F44" s="202"/>
      <c r="G44" s="37" t="e">
        <f ca="1">VLOOKUP(A44,#REF!,11,0)</f>
        <v>#REF!</v>
      </c>
      <c r="H44" s="38"/>
      <c r="I44" s="45" t="str">
        <f ca="1">IFERROR(__xludf.DUMMYFUNCTION("""COMPUTED_VALUE"""),"ng")</f>
        <v>ng</v>
      </c>
      <c r="J44" s="38" t="str">
        <f ca="1">IFERROR(__xludf.DUMMYFUNCTION("""COMPUTED_VALUE"""),"Nigeria")</f>
        <v>Nigeria</v>
      </c>
      <c r="K44" s="204">
        <f ca="1">IFERROR(__xludf.DUMMYFUNCTION("""COMPUTED_VALUE"""),37.14)</f>
        <v>37.14</v>
      </c>
      <c r="L44" s="199"/>
      <c r="M44" s="199"/>
      <c r="N44" s="199"/>
      <c r="O44" s="46" t="e">
        <f ca="1">VLOOKUP(A44,#REF!,11,0)</f>
        <v>#REF!</v>
      </c>
      <c r="P44" s="38"/>
      <c r="Q44" s="38"/>
      <c r="R44" s="42" t="e">
        <f ca="1">VLOOKUP(A44,#REF!,19,0)</f>
        <v>#REF!</v>
      </c>
      <c r="S44" s="42" t="e">
        <f ca="1">VLOOKUP(A44,#REF!,20,0)</f>
        <v>#REF!</v>
      </c>
      <c r="T44" s="42" t="e">
        <f ca="1">VLOOKUP(A44,#REF!,21,0)</f>
        <v>#REF!</v>
      </c>
      <c r="U44" s="42" t="e">
        <f ca="1">VLOOKUP(A44,#REF!,22,0)</f>
        <v>#REF!</v>
      </c>
      <c r="V44" s="42" t="e">
        <f ca="1">VLOOKUP(A44,#REF!,23,0)</f>
        <v>#REF!</v>
      </c>
      <c r="W44" s="42" t="e">
        <f t="shared" ca="1" si="0"/>
        <v>#REF!</v>
      </c>
      <c r="X44" s="43"/>
      <c r="Y44" s="44" t="e">
        <f t="shared" ref="Y44:AC44" ca="1" si="43">R44/$W44*$AD44</f>
        <v>#REF!</v>
      </c>
      <c r="Z44" s="44" t="e">
        <f t="shared" ca="1" si="43"/>
        <v>#REF!</v>
      </c>
      <c r="AA44" s="44" t="e">
        <f t="shared" ca="1" si="43"/>
        <v>#REF!</v>
      </c>
      <c r="AB44" s="44" t="e">
        <f t="shared" ca="1" si="43"/>
        <v>#REF!</v>
      </c>
      <c r="AC44" s="44" t="e">
        <f t="shared" ca="1" si="43"/>
        <v>#REF!</v>
      </c>
      <c r="AD44" s="44" t="e">
        <f t="shared" ca="1" si="2"/>
        <v>#REF!</v>
      </c>
      <c r="AE44" s="38"/>
    </row>
    <row r="45" spans="1:31" ht="13" x14ac:dyDescent="0.15">
      <c r="A45" s="35" t="str">
        <f ca="1">IFERROR(__xludf.DUMMYFUNCTION("""COMPUTED_VALUE"""),"jp")</f>
        <v>jp</v>
      </c>
      <c r="B45" s="36" t="str">
        <f ca="1">IFERROR(__xludf.DUMMYFUNCTION("""COMPUTED_VALUE"""),"Japan")</f>
        <v>Japan</v>
      </c>
      <c r="C45" s="200">
        <f ca="1">IFERROR(__xludf.DUMMYFUNCTION("""COMPUTED_VALUE"""),37.04)</f>
        <v>37.04</v>
      </c>
      <c r="D45" s="201"/>
      <c r="E45" s="201"/>
      <c r="F45" s="202"/>
      <c r="G45" s="37" t="e">
        <f ca="1">VLOOKUP(A45,#REF!,11,0)</f>
        <v>#REF!</v>
      </c>
      <c r="H45" s="38"/>
      <c r="I45" s="45" t="str">
        <f ca="1">IFERROR(__xludf.DUMMYFUNCTION("""COMPUTED_VALUE"""),"jp")</f>
        <v>jp</v>
      </c>
      <c r="J45" s="38" t="str">
        <f ca="1">IFERROR(__xludf.DUMMYFUNCTION("""COMPUTED_VALUE"""),"Japan")</f>
        <v>Japan</v>
      </c>
      <c r="K45" s="204">
        <f ca="1">IFERROR(__xludf.DUMMYFUNCTION("""COMPUTED_VALUE"""),37.04)</f>
        <v>37.04</v>
      </c>
      <c r="L45" s="199"/>
      <c r="M45" s="199"/>
      <c r="N45" s="199"/>
      <c r="O45" s="46" t="e">
        <f ca="1">VLOOKUP(A45,#REF!,11,0)</f>
        <v>#REF!</v>
      </c>
      <c r="P45" s="38"/>
      <c r="Q45" s="38"/>
      <c r="R45" s="42" t="e">
        <f ca="1">VLOOKUP(A45,#REF!,19,0)</f>
        <v>#REF!</v>
      </c>
      <c r="S45" s="42" t="e">
        <f ca="1">VLOOKUP(A45,#REF!,20,0)</f>
        <v>#REF!</v>
      </c>
      <c r="T45" s="42" t="e">
        <f ca="1">VLOOKUP(A45,#REF!,21,0)</f>
        <v>#REF!</v>
      </c>
      <c r="U45" s="42" t="e">
        <f ca="1">VLOOKUP(A45,#REF!,22,0)</f>
        <v>#REF!</v>
      </c>
      <c r="V45" s="42" t="e">
        <f ca="1">VLOOKUP(A45,#REF!,23,0)</f>
        <v>#REF!</v>
      </c>
      <c r="W45" s="42" t="e">
        <f t="shared" ca="1" si="0"/>
        <v>#REF!</v>
      </c>
      <c r="X45" s="43"/>
      <c r="Y45" s="44" t="e">
        <f t="shared" ref="Y45:AC45" ca="1" si="44">R45/$W45*$AD45</f>
        <v>#REF!</v>
      </c>
      <c r="Z45" s="44" t="e">
        <f t="shared" ca="1" si="44"/>
        <v>#REF!</v>
      </c>
      <c r="AA45" s="44" t="e">
        <f t="shared" ca="1" si="44"/>
        <v>#REF!</v>
      </c>
      <c r="AB45" s="44" t="e">
        <f t="shared" ca="1" si="44"/>
        <v>#REF!</v>
      </c>
      <c r="AC45" s="44" t="e">
        <f t="shared" ca="1" si="44"/>
        <v>#REF!</v>
      </c>
      <c r="AD45" s="44" t="e">
        <f t="shared" ca="1" si="2"/>
        <v>#REF!</v>
      </c>
      <c r="AE45" s="38"/>
    </row>
    <row r="46" spans="1:31" ht="13" x14ac:dyDescent="0.15">
      <c r="A46" s="35" t="str">
        <f ca="1">IFERROR(__xludf.DUMMYFUNCTION("""COMPUTED_VALUE"""),"cl")</f>
        <v>cl</v>
      </c>
      <c r="B46" s="36" t="str">
        <f ca="1">IFERROR(__xludf.DUMMYFUNCTION("""COMPUTED_VALUE"""),"Chile")</f>
        <v>Chile</v>
      </c>
      <c r="C46" s="200">
        <f ca="1">IFERROR(__xludf.DUMMYFUNCTION("""COMPUTED_VALUE"""),35.54)</f>
        <v>35.54</v>
      </c>
      <c r="D46" s="201"/>
      <c r="E46" s="201"/>
      <c r="F46" s="202"/>
      <c r="G46" s="37" t="e">
        <f ca="1">VLOOKUP(A46,#REF!,11,0)</f>
        <v>#REF!</v>
      </c>
      <c r="H46" s="38"/>
      <c r="I46" s="45" t="str">
        <f ca="1">IFERROR(__xludf.DUMMYFUNCTION("""COMPUTED_VALUE"""),"cl")</f>
        <v>cl</v>
      </c>
      <c r="J46" s="38" t="str">
        <f ca="1">IFERROR(__xludf.DUMMYFUNCTION("""COMPUTED_VALUE"""),"Chile")</f>
        <v>Chile</v>
      </c>
      <c r="K46" s="204">
        <f ca="1">IFERROR(__xludf.DUMMYFUNCTION("""COMPUTED_VALUE"""),35.54)</f>
        <v>35.54</v>
      </c>
      <c r="L46" s="199"/>
      <c r="M46" s="199"/>
      <c r="N46" s="199"/>
      <c r="O46" s="46" t="e">
        <f ca="1">VLOOKUP(A46,#REF!,11,0)</f>
        <v>#REF!</v>
      </c>
      <c r="P46" s="38"/>
      <c r="Q46" s="38"/>
      <c r="R46" s="42" t="e">
        <f ca="1">VLOOKUP(A46,#REF!,19,0)</f>
        <v>#REF!</v>
      </c>
      <c r="S46" s="42" t="e">
        <f ca="1">VLOOKUP(A46,#REF!,20,0)</f>
        <v>#REF!</v>
      </c>
      <c r="T46" s="42" t="e">
        <f ca="1">VLOOKUP(A46,#REF!,21,0)</f>
        <v>#REF!</v>
      </c>
      <c r="U46" s="42" t="e">
        <f ca="1">VLOOKUP(A46,#REF!,22,0)</f>
        <v>#REF!</v>
      </c>
      <c r="V46" s="42" t="e">
        <f ca="1">VLOOKUP(A46,#REF!,23,0)</f>
        <v>#REF!</v>
      </c>
      <c r="W46" s="42" t="e">
        <f t="shared" ca="1" si="0"/>
        <v>#REF!</v>
      </c>
      <c r="X46" s="43"/>
      <c r="Y46" s="44" t="e">
        <f t="shared" ref="Y46:AC46" ca="1" si="45">R46/$W46*$AD46</f>
        <v>#REF!</v>
      </c>
      <c r="Z46" s="44" t="e">
        <f t="shared" ca="1" si="45"/>
        <v>#REF!</v>
      </c>
      <c r="AA46" s="44" t="e">
        <f t="shared" ca="1" si="45"/>
        <v>#REF!</v>
      </c>
      <c r="AB46" s="44" t="e">
        <f t="shared" ca="1" si="45"/>
        <v>#REF!</v>
      </c>
      <c r="AC46" s="44" t="e">
        <f t="shared" ca="1" si="45"/>
        <v>#REF!</v>
      </c>
      <c r="AD46" s="44" t="e">
        <f t="shared" ca="1" si="2"/>
        <v>#REF!</v>
      </c>
      <c r="AE46" s="38"/>
    </row>
    <row r="47" spans="1:31" ht="13" x14ac:dyDescent="0.15">
      <c r="A47" s="35" t="str">
        <f ca="1">IFERROR(__xludf.DUMMYFUNCTION("""COMPUTED_VALUE"""),"ae")</f>
        <v>ae</v>
      </c>
      <c r="B47" s="36" t="str">
        <f ca="1">IFERROR(__xludf.DUMMYFUNCTION("""COMPUTED_VALUE"""),"UAE")</f>
        <v>UAE</v>
      </c>
      <c r="C47" s="200">
        <f ca="1">IFERROR(__xludf.DUMMYFUNCTION("""COMPUTED_VALUE"""),34.6799999999999)</f>
        <v>34.6799999999999</v>
      </c>
      <c r="D47" s="201"/>
      <c r="E47" s="201"/>
      <c r="F47" s="202"/>
      <c r="G47" s="37" t="e">
        <f ca="1">VLOOKUP(A47,#REF!,11,0)</f>
        <v>#REF!</v>
      </c>
      <c r="H47" s="38"/>
      <c r="I47" s="45" t="str">
        <f ca="1">IFERROR(__xludf.DUMMYFUNCTION("""COMPUTED_VALUE"""),"ae")</f>
        <v>ae</v>
      </c>
      <c r="J47" s="38" t="str">
        <f ca="1">IFERROR(__xludf.DUMMYFUNCTION("""COMPUTED_VALUE"""),"UAE")</f>
        <v>UAE</v>
      </c>
      <c r="K47" s="204">
        <f ca="1">IFERROR(__xludf.DUMMYFUNCTION("""COMPUTED_VALUE"""),34.6799999999999)</f>
        <v>34.6799999999999</v>
      </c>
      <c r="L47" s="199"/>
      <c r="M47" s="199"/>
      <c r="N47" s="199"/>
      <c r="O47" s="46" t="e">
        <f ca="1">VLOOKUP(A47,#REF!,11,0)</f>
        <v>#REF!</v>
      </c>
      <c r="P47" s="38"/>
      <c r="Q47" s="38"/>
      <c r="R47" s="42" t="e">
        <f ca="1">VLOOKUP(A47,#REF!,19,0)</f>
        <v>#REF!</v>
      </c>
      <c r="S47" s="42" t="e">
        <f ca="1">VLOOKUP(A47,#REF!,20,0)</f>
        <v>#REF!</v>
      </c>
      <c r="T47" s="42" t="e">
        <f ca="1">VLOOKUP(A47,#REF!,21,0)</f>
        <v>#REF!</v>
      </c>
      <c r="U47" s="42" t="e">
        <f ca="1">VLOOKUP(A47,#REF!,22,0)</f>
        <v>#REF!</v>
      </c>
      <c r="V47" s="42" t="e">
        <f ca="1">VLOOKUP(A47,#REF!,23,0)</f>
        <v>#REF!</v>
      </c>
      <c r="W47" s="42" t="e">
        <f t="shared" ca="1" si="0"/>
        <v>#REF!</v>
      </c>
      <c r="X47" s="43"/>
      <c r="Y47" s="44" t="e">
        <f t="shared" ref="Y47:AC47" ca="1" si="46">R47/$W47*$AD47</f>
        <v>#REF!</v>
      </c>
      <c r="Z47" s="44" t="e">
        <f t="shared" ca="1" si="46"/>
        <v>#REF!</v>
      </c>
      <c r="AA47" s="44" t="e">
        <f t="shared" ca="1" si="46"/>
        <v>#REF!</v>
      </c>
      <c r="AB47" s="44" t="e">
        <f t="shared" ca="1" si="46"/>
        <v>#REF!</v>
      </c>
      <c r="AC47" s="44" t="e">
        <f t="shared" ca="1" si="46"/>
        <v>#REF!</v>
      </c>
      <c r="AD47" s="44" t="e">
        <f t="shared" ca="1" si="2"/>
        <v>#REF!</v>
      </c>
      <c r="AE47" s="38"/>
    </row>
    <row r="48" spans="1:31" ht="13" x14ac:dyDescent="0.15">
      <c r="A48" s="35" t="str">
        <f ca="1">IFERROR(__xludf.DUMMYFUNCTION("""COMPUTED_VALUE"""),"pl")</f>
        <v>pl</v>
      </c>
      <c r="B48" s="36" t="str">
        <f ca="1">IFERROR(__xludf.DUMMYFUNCTION("""COMPUTED_VALUE"""),"Poland")</f>
        <v>Poland</v>
      </c>
      <c r="C48" s="200">
        <f ca="1">IFERROR(__xludf.DUMMYFUNCTION("""COMPUTED_VALUE"""),33.75)</f>
        <v>33.75</v>
      </c>
      <c r="D48" s="201"/>
      <c r="E48" s="201"/>
      <c r="F48" s="202"/>
      <c r="G48" s="37" t="e">
        <f ca="1">VLOOKUP(A48,#REF!,11,0)</f>
        <v>#REF!</v>
      </c>
      <c r="H48" s="38"/>
      <c r="I48" s="45" t="str">
        <f ca="1">IFERROR(__xludf.DUMMYFUNCTION("""COMPUTED_VALUE"""),"pl")</f>
        <v>pl</v>
      </c>
      <c r="J48" s="38" t="str">
        <f ca="1">IFERROR(__xludf.DUMMYFUNCTION("""COMPUTED_VALUE"""),"Poland")</f>
        <v>Poland</v>
      </c>
      <c r="K48" s="204">
        <f ca="1">IFERROR(__xludf.DUMMYFUNCTION("""COMPUTED_VALUE"""),33.75)</f>
        <v>33.75</v>
      </c>
      <c r="L48" s="199"/>
      <c r="M48" s="199"/>
      <c r="N48" s="199"/>
      <c r="O48" s="46" t="e">
        <f ca="1">VLOOKUP(A48,#REF!,11,0)</f>
        <v>#REF!</v>
      </c>
      <c r="P48" s="38"/>
      <c r="Q48" s="38"/>
      <c r="R48" s="42" t="e">
        <f ca="1">VLOOKUP(A48,#REF!,19,0)</f>
        <v>#REF!</v>
      </c>
      <c r="S48" s="42" t="e">
        <f ca="1">VLOOKUP(A48,#REF!,20,0)</f>
        <v>#REF!</v>
      </c>
      <c r="T48" s="42" t="e">
        <f ca="1">VLOOKUP(A48,#REF!,21,0)</f>
        <v>#REF!</v>
      </c>
      <c r="U48" s="42" t="e">
        <f ca="1">VLOOKUP(A48,#REF!,22,0)</f>
        <v>#REF!</v>
      </c>
      <c r="V48" s="42" t="e">
        <f ca="1">VLOOKUP(A48,#REF!,23,0)</f>
        <v>#REF!</v>
      </c>
      <c r="W48" s="42" t="e">
        <f t="shared" ca="1" si="0"/>
        <v>#REF!</v>
      </c>
      <c r="X48" s="43"/>
      <c r="Y48" s="44" t="e">
        <f t="shared" ref="Y48:AC48" ca="1" si="47">R48/$W48*$AD48</f>
        <v>#REF!</v>
      </c>
      <c r="Z48" s="44" t="e">
        <f t="shared" ca="1" si="47"/>
        <v>#REF!</v>
      </c>
      <c r="AA48" s="44" t="e">
        <f t="shared" ca="1" si="47"/>
        <v>#REF!</v>
      </c>
      <c r="AB48" s="44" t="e">
        <f t="shared" ca="1" si="47"/>
        <v>#REF!</v>
      </c>
      <c r="AC48" s="44" t="e">
        <f t="shared" ca="1" si="47"/>
        <v>#REF!</v>
      </c>
      <c r="AD48" s="44" t="e">
        <f t="shared" ca="1" si="2"/>
        <v>#REF!</v>
      </c>
      <c r="AE48" s="38"/>
    </row>
    <row r="49" spans="1:31" ht="13" x14ac:dyDescent="0.15">
      <c r="A49" s="35" t="str">
        <f ca="1">IFERROR(__xludf.DUMMYFUNCTION("""COMPUTED_VALUE"""),"eg")</f>
        <v>eg</v>
      </c>
      <c r="B49" s="36" t="str">
        <f ca="1">IFERROR(__xludf.DUMMYFUNCTION("""COMPUTED_VALUE"""),"Egypt")</f>
        <v>Egypt</v>
      </c>
      <c r="C49" s="200">
        <f ca="1">IFERROR(__xludf.DUMMYFUNCTION("""COMPUTED_VALUE"""),33.11)</f>
        <v>33.11</v>
      </c>
      <c r="D49" s="201"/>
      <c r="E49" s="201"/>
      <c r="F49" s="202"/>
      <c r="G49" s="37" t="e">
        <f ca="1">VLOOKUP(A49,#REF!,11,0)</f>
        <v>#REF!</v>
      </c>
      <c r="H49" s="38"/>
      <c r="I49" s="45" t="str">
        <f ca="1">IFERROR(__xludf.DUMMYFUNCTION("""COMPUTED_VALUE"""),"eg")</f>
        <v>eg</v>
      </c>
      <c r="J49" s="38" t="str">
        <f ca="1">IFERROR(__xludf.DUMMYFUNCTION("""COMPUTED_VALUE"""),"Egypt")</f>
        <v>Egypt</v>
      </c>
      <c r="K49" s="204">
        <f ca="1">IFERROR(__xludf.DUMMYFUNCTION("""COMPUTED_VALUE"""),33.11)</f>
        <v>33.11</v>
      </c>
      <c r="L49" s="199"/>
      <c r="M49" s="199"/>
      <c r="N49" s="199"/>
      <c r="O49" s="46" t="e">
        <f ca="1">VLOOKUP(A49,#REF!,11,0)</f>
        <v>#REF!</v>
      </c>
      <c r="P49" s="38"/>
      <c r="Q49" s="38"/>
      <c r="R49" s="42" t="e">
        <f ca="1">VLOOKUP(A49,#REF!,19,0)</f>
        <v>#REF!</v>
      </c>
      <c r="S49" s="42" t="e">
        <f ca="1">VLOOKUP(A49,#REF!,20,0)</f>
        <v>#REF!</v>
      </c>
      <c r="T49" s="42" t="e">
        <f ca="1">VLOOKUP(A49,#REF!,21,0)</f>
        <v>#REF!</v>
      </c>
      <c r="U49" s="42" t="e">
        <f ca="1">VLOOKUP(A49,#REF!,22,0)</f>
        <v>#REF!</v>
      </c>
      <c r="V49" s="42" t="e">
        <f ca="1">VLOOKUP(A49,#REF!,23,0)</f>
        <v>#REF!</v>
      </c>
      <c r="W49" s="42" t="e">
        <f t="shared" ca="1" si="0"/>
        <v>#REF!</v>
      </c>
      <c r="X49" s="43"/>
      <c r="Y49" s="44" t="e">
        <f t="shared" ref="Y49:AC49" ca="1" si="48">R49/$W49*$AD49</f>
        <v>#REF!</v>
      </c>
      <c r="Z49" s="44" t="e">
        <f t="shared" ca="1" si="48"/>
        <v>#REF!</v>
      </c>
      <c r="AA49" s="44" t="e">
        <f t="shared" ca="1" si="48"/>
        <v>#REF!</v>
      </c>
      <c r="AB49" s="44" t="e">
        <f t="shared" ca="1" si="48"/>
        <v>#REF!</v>
      </c>
      <c r="AC49" s="44" t="e">
        <f t="shared" ca="1" si="48"/>
        <v>#REF!</v>
      </c>
      <c r="AD49" s="44" t="e">
        <f t="shared" ca="1" si="2"/>
        <v>#REF!</v>
      </c>
      <c r="AE49" s="38"/>
    </row>
    <row r="50" spans="1:31" ht="13" x14ac:dyDescent="0.15">
      <c r="A50" s="35" t="str">
        <f ca="1">IFERROR(__xludf.DUMMYFUNCTION("""COMPUTED_VALUE"""),"hu")</f>
        <v>hu</v>
      </c>
      <c r="B50" s="36" t="str">
        <f ca="1">IFERROR(__xludf.DUMMYFUNCTION("""COMPUTED_VALUE"""),"Hungary")</f>
        <v>Hungary</v>
      </c>
      <c r="C50" s="200">
        <f ca="1">IFERROR(__xludf.DUMMYFUNCTION("""COMPUTED_VALUE"""),32.63)</f>
        <v>32.630000000000003</v>
      </c>
      <c r="D50" s="201"/>
      <c r="E50" s="201"/>
      <c r="F50" s="202"/>
      <c r="G50" s="37" t="e">
        <f ca="1">VLOOKUP(A50,#REF!,11,0)</f>
        <v>#REF!</v>
      </c>
      <c r="H50" s="38"/>
      <c r="I50" s="45" t="str">
        <f ca="1">IFERROR(__xludf.DUMMYFUNCTION("""COMPUTED_VALUE"""),"hu")</f>
        <v>hu</v>
      </c>
      <c r="J50" s="38" t="str">
        <f ca="1">IFERROR(__xludf.DUMMYFUNCTION("""COMPUTED_VALUE"""),"Hungary")</f>
        <v>Hungary</v>
      </c>
      <c r="K50" s="204">
        <f ca="1">IFERROR(__xludf.DUMMYFUNCTION("""COMPUTED_VALUE"""),32.63)</f>
        <v>32.630000000000003</v>
      </c>
      <c r="L50" s="199"/>
      <c r="M50" s="199"/>
      <c r="N50" s="199"/>
      <c r="O50" s="46" t="e">
        <f ca="1">VLOOKUP(A50,#REF!,11,0)</f>
        <v>#REF!</v>
      </c>
      <c r="P50" s="38"/>
      <c r="Q50" s="38"/>
      <c r="R50" s="42" t="e">
        <f ca="1">VLOOKUP(A50,#REF!,19,0)</f>
        <v>#REF!</v>
      </c>
      <c r="S50" s="42" t="e">
        <f ca="1">VLOOKUP(A50,#REF!,20,0)</f>
        <v>#REF!</v>
      </c>
      <c r="T50" s="42" t="e">
        <f ca="1">VLOOKUP(A50,#REF!,21,0)</f>
        <v>#REF!</v>
      </c>
      <c r="U50" s="42" t="e">
        <f ca="1">VLOOKUP(A50,#REF!,22,0)</f>
        <v>#REF!</v>
      </c>
      <c r="V50" s="42" t="e">
        <f ca="1">VLOOKUP(A50,#REF!,23,0)</f>
        <v>#REF!</v>
      </c>
      <c r="W50" s="42" t="e">
        <f t="shared" ca="1" si="0"/>
        <v>#REF!</v>
      </c>
      <c r="X50" s="43"/>
      <c r="Y50" s="44" t="e">
        <f t="shared" ref="Y50:AC50" ca="1" si="49">R50/$W50*$AD50</f>
        <v>#REF!</v>
      </c>
      <c r="Z50" s="44" t="e">
        <f t="shared" ca="1" si="49"/>
        <v>#REF!</v>
      </c>
      <c r="AA50" s="44" t="e">
        <f t="shared" ca="1" si="49"/>
        <v>#REF!</v>
      </c>
      <c r="AB50" s="44" t="e">
        <f t="shared" ca="1" si="49"/>
        <v>#REF!</v>
      </c>
      <c r="AC50" s="44" t="e">
        <f t="shared" ca="1" si="49"/>
        <v>#REF!</v>
      </c>
      <c r="AD50" s="44" t="e">
        <f t="shared" ca="1" si="2"/>
        <v>#REF!</v>
      </c>
      <c r="AE50" s="38"/>
    </row>
    <row r="51" spans="1:31" ht="13" x14ac:dyDescent="0.15">
      <c r="A51" s="35" t="str">
        <f ca="1">IFERROR(__xludf.DUMMYFUNCTION("""COMPUTED_VALUE"""),"my")</f>
        <v>my</v>
      </c>
      <c r="B51" s="36" t="str">
        <f ca="1">IFERROR(__xludf.DUMMYFUNCTION("""COMPUTED_VALUE"""),"Malaysia")</f>
        <v>Malaysia</v>
      </c>
      <c r="C51" s="200">
        <f ca="1">IFERROR(__xludf.DUMMYFUNCTION("""COMPUTED_VALUE"""),32.22)</f>
        <v>32.22</v>
      </c>
      <c r="D51" s="201"/>
      <c r="E51" s="201"/>
      <c r="F51" s="202"/>
      <c r="G51" s="37" t="e">
        <f ca="1">VLOOKUP(A51,#REF!,11,0)</f>
        <v>#REF!</v>
      </c>
      <c r="H51" s="38"/>
      <c r="I51" s="45" t="str">
        <f ca="1">IFERROR(__xludf.DUMMYFUNCTION("""COMPUTED_VALUE"""),"my")</f>
        <v>my</v>
      </c>
      <c r="J51" s="38" t="str">
        <f ca="1">IFERROR(__xludf.DUMMYFUNCTION("""COMPUTED_VALUE"""),"Malaysia")</f>
        <v>Malaysia</v>
      </c>
      <c r="K51" s="204">
        <f ca="1">IFERROR(__xludf.DUMMYFUNCTION("""COMPUTED_VALUE"""),32.22)</f>
        <v>32.22</v>
      </c>
      <c r="L51" s="199"/>
      <c r="M51" s="199"/>
      <c r="N51" s="199"/>
      <c r="O51" s="46" t="e">
        <f ca="1">VLOOKUP(A51,#REF!,11,0)</f>
        <v>#REF!</v>
      </c>
      <c r="P51" s="38"/>
      <c r="Q51" s="38"/>
      <c r="R51" s="42" t="e">
        <f ca="1">VLOOKUP(A51,#REF!,19,0)</f>
        <v>#REF!</v>
      </c>
      <c r="S51" s="42" t="e">
        <f ca="1">VLOOKUP(A51,#REF!,20,0)</f>
        <v>#REF!</v>
      </c>
      <c r="T51" s="42" t="e">
        <f ca="1">VLOOKUP(A51,#REF!,21,0)</f>
        <v>#REF!</v>
      </c>
      <c r="U51" s="42" t="e">
        <f ca="1">VLOOKUP(A51,#REF!,22,0)</f>
        <v>#REF!</v>
      </c>
      <c r="V51" s="42" t="e">
        <f ca="1">VLOOKUP(A51,#REF!,23,0)</f>
        <v>#REF!</v>
      </c>
      <c r="W51" s="42" t="e">
        <f t="shared" ca="1" si="0"/>
        <v>#REF!</v>
      </c>
      <c r="X51" s="43"/>
      <c r="Y51" s="44" t="e">
        <f t="shared" ref="Y51:AC51" ca="1" si="50">R51/$W51*$AD51</f>
        <v>#REF!</v>
      </c>
      <c r="Z51" s="44" t="e">
        <f t="shared" ca="1" si="50"/>
        <v>#REF!</v>
      </c>
      <c r="AA51" s="44" t="e">
        <f t="shared" ca="1" si="50"/>
        <v>#REF!</v>
      </c>
      <c r="AB51" s="44" t="e">
        <f t="shared" ca="1" si="50"/>
        <v>#REF!</v>
      </c>
      <c r="AC51" s="44" t="e">
        <f t="shared" ca="1" si="50"/>
        <v>#REF!</v>
      </c>
      <c r="AD51" s="44" t="e">
        <f t="shared" ca="1" si="2"/>
        <v>#REF!</v>
      </c>
      <c r="AE51" s="38"/>
    </row>
    <row r="52" spans="1:31" ht="13" x14ac:dyDescent="0.15">
      <c r="A52" s="35" t="str">
        <f ca="1">IFERROR(__xludf.DUMMYFUNCTION("""COMPUTED_VALUE"""),"pk")</f>
        <v>pk</v>
      </c>
      <c r="B52" s="36" t="str">
        <f ca="1">IFERROR(__xludf.DUMMYFUNCTION("""COMPUTED_VALUE"""),"Pakistan")</f>
        <v>Pakistan</v>
      </c>
      <c r="C52" s="200">
        <f ca="1">IFERROR(__xludf.DUMMYFUNCTION("""COMPUTED_VALUE"""),31.58)</f>
        <v>31.58</v>
      </c>
      <c r="D52" s="201"/>
      <c r="E52" s="201"/>
      <c r="F52" s="202"/>
      <c r="G52" s="37" t="e">
        <f ca="1">VLOOKUP(A52,#REF!,11,0)</f>
        <v>#REF!</v>
      </c>
      <c r="H52" s="38"/>
      <c r="I52" s="45" t="str">
        <f ca="1">IFERROR(__xludf.DUMMYFUNCTION("""COMPUTED_VALUE"""),"pk")</f>
        <v>pk</v>
      </c>
      <c r="J52" s="38" t="str">
        <f ca="1">IFERROR(__xludf.DUMMYFUNCTION("""COMPUTED_VALUE"""),"Pakistan")</f>
        <v>Pakistan</v>
      </c>
      <c r="K52" s="204">
        <f ca="1">IFERROR(__xludf.DUMMYFUNCTION("""COMPUTED_VALUE"""),31.58)</f>
        <v>31.58</v>
      </c>
      <c r="L52" s="199"/>
      <c r="M52" s="199"/>
      <c r="N52" s="199"/>
      <c r="O52" s="46" t="e">
        <f ca="1">VLOOKUP(A52,#REF!,11,0)</f>
        <v>#REF!</v>
      </c>
      <c r="P52" s="38"/>
      <c r="Q52" s="38"/>
      <c r="R52" s="42" t="e">
        <f ca="1">VLOOKUP(A52,#REF!,19,0)</f>
        <v>#REF!</v>
      </c>
      <c r="S52" s="42" t="e">
        <f ca="1">VLOOKUP(A52,#REF!,20,0)</f>
        <v>#REF!</v>
      </c>
      <c r="T52" s="42" t="e">
        <f ca="1">VLOOKUP(A52,#REF!,21,0)</f>
        <v>#REF!</v>
      </c>
      <c r="U52" s="42" t="e">
        <f ca="1">VLOOKUP(A52,#REF!,22,0)</f>
        <v>#REF!</v>
      </c>
      <c r="V52" s="42" t="e">
        <f ca="1">VLOOKUP(A52,#REF!,23,0)</f>
        <v>#REF!</v>
      </c>
      <c r="W52" s="42" t="e">
        <f t="shared" ca="1" si="0"/>
        <v>#REF!</v>
      </c>
      <c r="X52" s="43"/>
      <c r="Y52" s="44" t="e">
        <f t="shared" ref="Y52:AC52" ca="1" si="51">R52/$W52*$AD52</f>
        <v>#REF!</v>
      </c>
      <c r="Z52" s="44" t="e">
        <f t="shared" ca="1" si="51"/>
        <v>#REF!</v>
      </c>
      <c r="AA52" s="44" t="e">
        <f t="shared" ca="1" si="51"/>
        <v>#REF!</v>
      </c>
      <c r="AB52" s="44" t="e">
        <f t="shared" ca="1" si="51"/>
        <v>#REF!</v>
      </c>
      <c r="AC52" s="44" t="e">
        <f t="shared" ca="1" si="51"/>
        <v>#REF!</v>
      </c>
      <c r="AD52" s="44" t="e">
        <f t="shared" ca="1" si="2"/>
        <v>#REF!</v>
      </c>
      <c r="AE52" s="38"/>
    </row>
    <row r="53" spans="1:31" ht="13" x14ac:dyDescent="0.15">
      <c r="A53" s="35" t="str">
        <f ca="1">IFERROR(__xludf.DUMMYFUNCTION("""COMPUTED_VALUE"""),"za")</f>
        <v>za</v>
      </c>
      <c r="B53" s="36" t="str">
        <f ca="1">IFERROR(__xludf.DUMMYFUNCTION("""COMPUTED_VALUE"""),"South Africa")</f>
        <v>South Africa</v>
      </c>
      <c r="C53" s="200">
        <f ca="1">IFERROR(__xludf.DUMMYFUNCTION("""COMPUTED_VALUE"""),31.54)</f>
        <v>31.54</v>
      </c>
      <c r="D53" s="201"/>
      <c r="E53" s="201"/>
      <c r="F53" s="202"/>
      <c r="G53" s="37" t="e">
        <f ca="1">VLOOKUP(A53,#REF!,11,0)</f>
        <v>#REF!</v>
      </c>
      <c r="H53" s="38"/>
      <c r="I53" s="45" t="str">
        <f ca="1">IFERROR(__xludf.DUMMYFUNCTION("""COMPUTED_VALUE"""),"za")</f>
        <v>za</v>
      </c>
      <c r="J53" s="38" t="str">
        <f ca="1">IFERROR(__xludf.DUMMYFUNCTION("""COMPUTED_VALUE"""),"South Africa")</f>
        <v>South Africa</v>
      </c>
      <c r="K53" s="204">
        <f ca="1">IFERROR(__xludf.DUMMYFUNCTION("""COMPUTED_VALUE"""),31.54)</f>
        <v>31.54</v>
      </c>
      <c r="L53" s="199"/>
      <c r="M53" s="199"/>
      <c r="N53" s="199"/>
      <c r="O53" s="46" t="e">
        <f ca="1">VLOOKUP(A53,#REF!,11,0)</f>
        <v>#REF!</v>
      </c>
      <c r="P53" s="38"/>
      <c r="Q53" s="38"/>
      <c r="R53" s="42" t="e">
        <f ca="1">VLOOKUP(A53,#REF!,19,0)</f>
        <v>#REF!</v>
      </c>
      <c r="S53" s="42" t="e">
        <f ca="1">VLOOKUP(A53,#REF!,20,0)</f>
        <v>#REF!</v>
      </c>
      <c r="T53" s="42" t="e">
        <f ca="1">VLOOKUP(A53,#REF!,21,0)</f>
        <v>#REF!</v>
      </c>
      <c r="U53" s="42" t="e">
        <f ca="1">VLOOKUP(A53,#REF!,22,0)</f>
        <v>#REF!</v>
      </c>
      <c r="V53" s="42" t="e">
        <f ca="1">VLOOKUP(A53,#REF!,23,0)</f>
        <v>#REF!</v>
      </c>
      <c r="W53" s="42" t="e">
        <f t="shared" ca="1" si="0"/>
        <v>#REF!</v>
      </c>
      <c r="X53" s="43"/>
      <c r="Y53" s="44" t="e">
        <f t="shared" ref="Y53:AC53" ca="1" si="52">R53/$W53*$AD53</f>
        <v>#REF!</v>
      </c>
      <c r="Z53" s="44" t="e">
        <f t="shared" ca="1" si="52"/>
        <v>#REF!</v>
      </c>
      <c r="AA53" s="44" t="e">
        <f t="shared" ca="1" si="52"/>
        <v>#REF!</v>
      </c>
      <c r="AB53" s="44" t="e">
        <f t="shared" ca="1" si="52"/>
        <v>#REF!</v>
      </c>
      <c r="AC53" s="44" t="e">
        <f t="shared" ca="1" si="52"/>
        <v>#REF!</v>
      </c>
      <c r="AD53" s="44" t="e">
        <f t="shared" ca="1" si="2"/>
        <v>#REF!</v>
      </c>
      <c r="AE53" s="38"/>
    </row>
    <row r="54" spans="1:31" ht="13" x14ac:dyDescent="0.15">
      <c r="A54" s="35" t="str">
        <f ca="1">IFERROR(__xludf.DUMMYFUNCTION("""COMPUTED_VALUE"""),"id")</f>
        <v>id</v>
      </c>
      <c r="B54" s="36" t="str">
        <f ca="1">IFERROR(__xludf.DUMMYFUNCTION("""COMPUTED_VALUE"""),"Indonesia")</f>
        <v>Indonesia</v>
      </c>
      <c r="C54" s="200">
        <f ca="1">IFERROR(__xludf.DUMMYFUNCTION("""COMPUTED_VALUE"""),31.37)</f>
        <v>31.37</v>
      </c>
      <c r="D54" s="201"/>
      <c r="E54" s="201"/>
      <c r="F54" s="202"/>
      <c r="G54" s="37" t="e">
        <f ca="1">VLOOKUP(A54,#REF!,11,0)</f>
        <v>#REF!</v>
      </c>
      <c r="H54" s="38"/>
      <c r="I54" s="45" t="str">
        <f ca="1">IFERROR(__xludf.DUMMYFUNCTION("""COMPUTED_VALUE"""),"id")</f>
        <v>id</v>
      </c>
      <c r="J54" s="38" t="str">
        <f ca="1">IFERROR(__xludf.DUMMYFUNCTION("""COMPUTED_VALUE"""),"Indonesia")</f>
        <v>Indonesia</v>
      </c>
      <c r="K54" s="204">
        <f ca="1">IFERROR(__xludf.DUMMYFUNCTION("""COMPUTED_VALUE"""),31.37)</f>
        <v>31.37</v>
      </c>
      <c r="L54" s="199"/>
      <c r="M54" s="199"/>
      <c r="N54" s="199"/>
      <c r="O54" s="46" t="e">
        <f ca="1">VLOOKUP(A54,#REF!,11,0)</f>
        <v>#REF!</v>
      </c>
      <c r="P54" s="38"/>
      <c r="Q54" s="38"/>
      <c r="R54" s="42" t="e">
        <f ca="1">VLOOKUP(A54,#REF!,19,0)</f>
        <v>#REF!</v>
      </c>
      <c r="S54" s="42" t="e">
        <f ca="1">VLOOKUP(A54,#REF!,20,0)</f>
        <v>#REF!</v>
      </c>
      <c r="T54" s="42" t="e">
        <f ca="1">VLOOKUP(A54,#REF!,21,0)</f>
        <v>#REF!</v>
      </c>
      <c r="U54" s="42" t="e">
        <f ca="1">VLOOKUP(A54,#REF!,22,0)</f>
        <v>#REF!</v>
      </c>
      <c r="V54" s="42" t="e">
        <f ca="1">VLOOKUP(A54,#REF!,23,0)</f>
        <v>#REF!</v>
      </c>
      <c r="W54" s="42" t="e">
        <f t="shared" ca="1" si="0"/>
        <v>#REF!</v>
      </c>
      <c r="X54" s="43"/>
      <c r="Y54" s="44" t="e">
        <f t="shared" ref="Y54:AC54" ca="1" si="53">R54/$W54*$AD54</f>
        <v>#REF!</v>
      </c>
      <c r="Z54" s="44" t="e">
        <f t="shared" ca="1" si="53"/>
        <v>#REF!</v>
      </c>
      <c r="AA54" s="44" t="e">
        <f t="shared" ca="1" si="53"/>
        <v>#REF!</v>
      </c>
      <c r="AB54" s="44" t="e">
        <f t="shared" ca="1" si="53"/>
        <v>#REF!</v>
      </c>
      <c r="AC54" s="44" t="e">
        <f t="shared" ca="1" si="53"/>
        <v>#REF!</v>
      </c>
      <c r="AD54" s="44" t="e">
        <f t="shared" ca="1" si="2"/>
        <v>#REF!</v>
      </c>
      <c r="AE54" s="38"/>
    </row>
    <row r="55" spans="1:31" ht="13" x14ac:dyDescent="0.15">
      <c r="A55" s="35" t="str">
        <f ca="1">IFERROR(__xludf.DUMMYFUNCTION("""COMPUTED_VALUE"""),"br")</f>
        <v>br</v>
      </c>
      <c r="B55" s="36" t="str">
        <f ca="1">IFERROR(__xludf.DUMMYFUNCTION("""COMPUTED_VALUE"""),"Brazil")</f>
        <v>Brazil</v>
      </c>
      <c r="C55" s="200">
        <f ca="1">IFERROR(__xludf.DUMMYFUNCTION("""COMPUTED_VALUE"""),30.52)</f>
        <v>30.52</v>
      </c>
      <c r="D55" s="201"/>
      <c r="E55" s="201"/>
      <c r="F55" s="202"/>
      <c r="G55" s="37" t="e">
        <f ca="1">VLOOKUP(A55,#REF!,11,0)</f>
        <v>#REF!</v>
      </c>
      <c r="H55" s="38"/>
      <c r="I55" s="45" t="str">
        <f ca="1">IFERROR(__xludf.DUMMYFUNCTION("""COMPUTED_VALUE"""),"br")</f>
        <v>br</v>
      </c>
      <c r="J55" s="38" t="str">
        <f ca="1">IFERROR(__xludf.DUMMYFUNCTION("""COMPUTED_VALUE"""),"Brazil")</f>
        <v>Brazil</v>
      </c>
      <c r="K55" s="204">
        <f ca="1">IFERROR(__xludf.DUMMYFUNCTION("""COMPUTED_VALUE"""),30.52)</f>
        <v>30.52</v>
      </c>
      <c r="L55" s="199"/>
      <c r="M55" s="199"/>
      <c r="N55" s="199"/>
      <c r="O55" s="46" t="e">
        <f ca="1">VLOOKUP(A55,#REF!,11,0)</f>
        <v>#REF!</v>
      </c>
      <c r="P55" s="38"/>
      <c r="Q55" s="38"/>
      <c r="R55" s="42" t="e">
        <f ca="1">VLOOKUP(A55,#REF!,19,0)</f>
        <v>#REF!</v>
      </c>
      <c r="S55" s="42" t="e">
        <f ca="1">VLOOKUP(A55,#REF!,20,0)</f>
        <v>#REF!</v>
      </c>
      <c r="T55" s="42" t="e">
        <f ca="1">VLOOKUP(A55,#REF!,21,0)</f>
        <v>#REF!</v>
      </c>
      <c r="U55" s="42" t="e">
        <f ca="1">VLOOKUP(A55,#REF!,22,0)</f>
        <v>#REF!</v>
      </c>
      <c r="V55" s="42" t="e">
        <f ca="1">VLOOKUP(A55,#REF!,23,0)</f>
        <v>#REF!</v>
      </c>
      <c r="W55" s="42" t="e">
        <f t="shared" ca="1" si="0"/>
        <v>#REF!</v>
      </c>
      <c r="X55" s="43"/>
      <c r="Y55" s="44" t="e">
        <f t="shared" ref="Y55:AC55" ca="1" si="54">R55/$W55*$AD55</f>
        <v>#REF!</v>
      </c>
      <c r="Z55" s="44" t="e">
        <f t="shared" ca="1" si="54"/>
        <v>#REF!</v>
      </c>
      <c r="AA55" s="44" t="e">
        <f t="shared" ca="1" si="54"/>
        <v>#REF!</v>
      </c>
      <c r="AB55" s="44" t="e">
        <f t="shared" ca="1" si="54"/>
        <v>#REF!</v>
      </c>
      <c r="AC55" s="44" t="e">
        <f t="shared" ca="1" si="54"/>
        <v>#REF!</v>
      </c>
      <c r="AD55" s="44" t="e">
        <f t="shared" ca="1" si="2"/>
        <v>#REF!</v>
      </c>
      <c r="AE55" s="38"/>
    </row>
    <row r="56" spans="1:31" ht="13" x14ac:dyDescent="0.15">
      <c r="A56" s="35" t="str">
        <f ca="1">IFERROR(__xludf.DUMMYFUNCTION("""COMPUTED_VALUE"""),"th")</f>
        <v>th</v>
      </c>
      <c r="B56" s="36" t="str">
        <f ca="1">IFERROR(__xludf.DUMMYFUNCTION("""COMPUTED_VALUE"""),"Thailand")</f>
        <v>Thailand</v>
      </c>
      <c r="C56" s="200">
        <f ca="1">IFERROR(__xludf.DUMMYFUNCTION("""COMPUTED_VALUE"""),29.86)</f>
        <v>29.86</v>
      </c>
      <c r="D56" s="201"/>
      <c r="E56" s="201"/>
      <c r="F56" s="202"/>
      <c r="G56" s="37" t="e">
        <f ca="1">VLOOKUP(A56,#REF!,11,0)</f>
        <v>#REF!</v>
      </c>
      <c r="H56" s="38"/>
      <c r="I56" s="45" t="str">
        <f ca="1">IFERROR(__xludf.DUMMYFUNCTION("""COMPUTED_VALUE"""),"th")</f>
        <v>th</v>
      </c>
      <c r="J56" s="38" t="str">
        <f ca="1">IFERROR(__xludf.DUMMYFUNCTION("""COMPUTED_VALUE"""),"Thailand")</f>
        <v>Thailand</v>
      </c>
      <c r="K56" s="204">
        <f ca="1">IFERROR(__xludf.DUMMYFUNCTION("""COMPUTED_VALUE"""),29.86)</f>
        <v>29.86</v>
      </c>
      <c r="L56" s="199"/>
      <c r="M56" s="199"/>
      <c r="N56" s="199"/>
      <c r="O56" s="46" t="e">
        <f ca="1">VLOOKUP(A56,#REF!,11,0)</f>
        <v>#REF!</v>
      </c>
      <c r="P56" s="38"/>
      <c r="Q56" s="38"/>
      <c r="R56" s="42" t="e">
        <f ca="1">VLOOKUP(A56,#REF!,19,0)</f>
        <v>#REF!</v>
      </c>
      <c r="S56" s="42" t="e">
        <f ca="1">VLOOKUP(A56,#REF!,20,0)</f>
        <v>#REF!</v>
      </c>
      <c r="T56" s="42" t="e">
        <f ca="1">VLOOKUP(A56,#REF!,21,0)</f>
        <v>#REF!</v>
      </c>
      <c r="U56" s="42" t="e">
        <f ca="1">VLOOKUP(A56,#REF!,22,0)</f>
        <v>#REF!</v>
      </c>
      <c r="V56" s="42" t="e">
        <f ca="1">VLOOKUP(A56,#REF!,23,0)</f>
        <v>#REF!</v>
      </c>
      <c r="W56" s="42" t="e">
        <f t="shared" ca="1" si="0"/>
        <v>#REF!</v>
      </c>
      <c r="X56" s="43"/>
      <c r="Y56" s="44" t="e">
        <f t="shared" ref="Y56:AC56" ca="1" si="55">R56/$W56*$AD56</f>
        <v>#REF!</v>
      </c>
      <c r="Z56" s="44" t="e">
        <f t="shared" ca="1" si="55"/>
        <v>#REF!</v>
      </c>
      <c r="AA56" s="44" t="e">
        <f t="shared" ca="1" si="55"/>
        <v>#REF!</v>
      </c>
      <c r="AB56" s="44" t="e">
        <f t="shared" ca="1" si="55"/>
        <v>#REF!</v>
      </c>
      <c r="AC56" s="44" t="e">
        <f t="shared" ca="1" si="55"/>
        <v>#REF!</v>
      </c>
      <c r="AD56" s="44" t="e">
        <f t="shared" ca="1" si="2"/>
        <v>#REF!</v>
      </c>
      <c r="AE56" s="38"/>
    </row>
    <row r="57" spans="1:31" ht="13" x14ac:dyDescent="0.15">
      <c r="A57" s="35" t="str">
        <f ca="1">IFERROR(__xludf.DUMMYFUNCTION("""COMPUTED_VALUE"""),"vn")</f>
        <v>vn</v>
      </c>
      <c r="B57" s="36" t="str">
        <f ca="1">IFERROR(__xludf.DUMMYFUNCTION("""COMPUTED_VALUE"""),"Vietnam")</f>
        <v>Vietnam</v>
      </c>
      <c r="C57" s="200">
        <f ca="1">IFERROR(__xludf.DUMMYFUNCTION("""COMPUTED_VALUE"""),29.78)</f>
        <v>29.78</v>
      </c>
      <c r="D57" s="201"/>
      <c r="E57" s="201"/>
      <c r="F57" s="202"/>
      <c r="G57" s="37" t="e">
        <f ca="1">VLOOKUP(A57,#REF!,11,0)</f>
        <v>#REF!</v>
      </c>
      <c r="H57" s="38"/>
      <c r="I57" s="45" t="str">
        <f ca="1">IFERROR(__xludf.DUMMYFUNCTION("""COMPUTED_VALUE"""),"vn")</f>
        <v>vn</v>
      </c>
      <c r="J57" s="38" t="str">
        <f ca="1">IFERROR(__xludf.DUMMYFUNCTION("""COMPUTED_VALUE"""),"Vietnam")</f>
        <v>Vietnam</v>
      </c>
      <c r="K57" s="204">
        <f ca="1">IFERROR(__xludf.DUMMYFUNCTION("""COMPUTED_VALUE"""),29.78)</f>
        <v>29.78</v>
      </c>
      <c r="L57" s="199"/>
      <c r="M57" s="199"/>
      <c r="N57" s="199"/>
      <c r="O57" s="46" t="e">
        <f ca="1">VLOOKUP(A57,#REF!,11,0)</f>
        <v>#REF!</v>
      </c>
      <c r="P57" s="38"/>
      <c r="Q57" s="38"/>
      <c r="R57" s="42" t="e">
        <f ca="1">VLOOKUP(A57,#REF!,19,0)</f>
        <v>#REF!</v>
      </c>
      <c r="S57" s="42" t="e">
        <f ca="1">VLOOKUP(A57,#REF!,20,0)</f>
        <v>#REF!</v>
      </c>
      <c r="T57" s="42" t="e">
        <f ca="1">VLOOKUP(A57,#REF!,21,0)</f>
        <v>#REF!</v>
      </c>
      <c r="U57" s="42" t="e">
        <f ca="1">VLOOKUP(A57,#REF!,22,0)</f>
        <v>#REF!</v>
      </c>
      <c r="V57" s="42" t="e">
        <f ca="1">VLOOKUP(A57,#REF!,23,0)</f>
        <v>#REF!</v>
      </c>
      <c r="W57" s="42" t="e">
        <f t="shared" ca="1" si="0"/>
        <v>#REF!</v>
      </c>
      <c r="X57" s="43"/>
      <c r="Y57" s="44" t="e">
        <f t="shared" ref="Y57:AC57" ca="1" si="56">R57/$W57*$AD57</f>
        <v>#REF!</v>
      </c>
      <c r="Z57" s="44" t="e">
        <f t="shared" ca="1" si="56"/>
        <v>#REF!</v>
      </c>
      <c r="AA57" s="44" t="e">
        <f t="shared" ca="1" si="56"/>
        <v>#REF!</v>
      </c>
      <c r="AB57" s="44" t="e">
        <f t="shared" ca="1" si="56"/>
        <v>#REF!</v>
      </c>
      <c r="AC57" s="44" t="e">
        <f t="shared" ca="1" si="56"/>
        <v>#REF!</v>
      </c>
      <c r="AD57" s="44" t="e">
        <f t="shared" ca="1" si="2"/>
        <v>#REF!</v>
      </c>
      <c r="AE57" s="38"/>
    </row>
    <row r="58" spans="1:31" ht="13" x14ac:dyDescent="0.15">
      <c r="A58" s="35" t="str">
        <f ca="1">IFERROR(__xludf.DUMMYFUNCTION("""COMPUTED_VALUE"""),"co")</f>
        <v>co</v>
      </c>
      <c r="B58" s="36" t="str">
        <f ca="1">IFERROR(__xludf.DUMMYFUNCTION("""COMPUTED_VALUE"""),"Colombia")</f>
        <v>Colombia</v>
      </c>
      <c r="C58" s="200">
        <f ca="1">IFERROR(__xludf.DUMMYFUNCTION("""COMPUTED_VALUE"""),27.99)</f>
        <v>27.99</v>
      </c>
      <c r="D58" s="201"/>
      <c r="E58" s="201"/>
      <c r="F58" s="202"/>
      <c r="G58" s="37" t="e">
        <f ca="1">VLOOKUP(A58,#REF!,11,0)</f>
        <v>#REF!</v>
      </c>
      <c r="H58" s="38"/>
      <c r="I58" s="45" t="str">
        <f ca="1">IFERROR(__xludf.DUMMYFUNCTION("""COMPUTED_VALUE"""),"co")</f>
        <v>co</v>
      </c>
      <c r="J58" s="38" t="str">
        <f ca="1">IFERROR(__xludf.DUMMYFUNCTION("""COMPUTED_VALUE"""),"Colombia")</f>
        <v>Colombia</v>
      </c>
      <c r="K58" s="204">
        <f ca="1">IFERROR(__xludf.DUMMYFUNCTION("""COMPUTED_VALUE"""),27.99)</f>
        <v>27.99</v>
      </c>
      <c r="L58" s="199"/>
      <c r="M58" s="199"/>
      <c r="N58" s="199"/>
      <c r="O58" s="46" t="e">
        <f ca="1">VLOOKUP(A58,#REF!,11,0)</f>
        <v>#REF!</v>
      </c>
      <c r="P58" s="38"/>
      <c r="Q58" s="38"/>
      <c r="R58" s="42" t="e">
        <f ca="1">VLOOKUP(A58,#REF!,19,0)</f>
        <v>#REF!</v>
      </c>
      <c r="S58" s="42" t="e">
        <f ca="1">VLOOKUP(A58,#REF!,20,0)</f>
        <v>#REF!</v>
      </c>
      <c r="T58" s="42" t="e">
        <f ca="1">VLOOKUP(A58,#REF!,21,0)</f>
        <v>#REF!</v>
      </c>
      <c r="U58" s="42" t="e">
        <f ca="1">VLOOKUP(A58,#REF!,22,0)</f>
        <v>#REF!</v>
      </c>
      <c r="V58" s="42" t="e">
        <f ca="1">VLOOKUP(A58,#REF!,23,0)</f>
        <v>#REF!</v>
      </c>
      <c r="W58" s="42" t="e">
        <f t="shared" ca="1" si="0"/>
        <v>#REF!</v>
      </c>
      <c r="X58" s="43"/>
      <c r="Y58" s="44" t="e">
        <f t="shared" ref="Y58:AC58" ca="1" si="57">R58/$W58*$AD58</f>
        <v>#REF!</v>
      </c>
      <c r="Z58" s="44" t="e">
        <f t="shared" ca="1" si="57"/>
        <v>#REF!</v>
      </c>
      <c r="AA58" s="44" t="e">
        <f t="shared" ca="1" si="57"/>
        <v>#REF!</v>
      </c>
      <c r="AB58" s="44" t="e">
        <f t="shared" ca="1" si="57"/>
        <v>#REF!</v>
      </c>
      <c r="AC58" s="44" t="e">
        <f t="shared" ca="1" si="57"/>
        <v>#REF!</v>
      </c>
      <c r="AD58" s="44" t="e">
        <f t="shared" ca="1" si="2"/>
        <v>#REF!</v>
      </c>
      <c r="AE58" s="38"/>
    </row>
    <row r="59" spans="1:31" ht="13" x14ac:dyDescent="0.15">
      <c r="A59" s="35" t="str">
        <f ca="1">IFERROR(__xludf.DUMMYFUNCTION("""COMPUTED_VALUE"""),"ph")</f>
        <v>ph</v>
      </c>
      <c r="B59" s="36" t="str">
        <f ca="1">IFERROR(__xludf.DUMMYFUNCTION("""COMPUTED_VALUE"""),"Philippines")</f>
        <v>Philippines</v>
      </c>
      <c r="C59" s="200">
        <f ca="1">IFERROR(__xludf.DUMMYFUNCTION("""COMPUTED_VALUE"""),25.41)</f>
        <v>25.41</v>
      </c>
      <c r="D59" s="201"/>
      <c r="E59" s="201"/>
      <c r="F59" s="202"/>
      <c r="G59" s="37" t="e">
        <f ca="1">VLOOKUP(A59,#REF!,11,0)</f>
        <v>#REF!</v>
      </c>
      <c r="H59" s="38"/>
      <c r="I59" s="45" t="str">
        <f ca="1">IFERROR(__xludf.DUMMYFUNCTION("""COMPUTED_VALUE"""),"ph")</f>
        <v>ph</v>
      </c>
      <c r="J59" s="38" t="str">
        <f ca="1">IFERROR(__xludf.DUMMYFUNCTION("""COMPUTED_VALUE"""),"Philippines")</f>
        <v>Philippines</v>
      </c>
      <c r="K59" s="204">
        <f ca="1">IFERROR(__xludf.DUMMYFUNCTION("""COMPUTED_VALUE"""),25.41)</f>
        <v>25.41</v>
      </c>
      <c r="L59" s="199"/>
      <c r="M59" s="199"/>
      <c r="N59" s="199"/>
      <c r="O59" s="46" t="e">
        <f ca="1">VLOOKUP(A59,#REF!,11,0)</f>
        <v>#REF!</v>
      </c>
      <c r="P59" s="38"/>
      <c r="Q59" s="38"/>
      <c r="R59" s="42" t="e">
        <f ca="1">VLOOKUP(A59,#REF!,19,0)</f>
        <v>#REF!</v>
      </c>
      <c r="S59" s="42" t="e">
        <f ca="1">VLOOKUP(A59,#REF!,20,0)</f>
        <v>#REF!</v>
      </c>
      <c r="T59" s="42" t="e">
        <f ca="1">VLOOKUP(A59,#REF!,21,0)</f>
        <v>#REF!</v>
      </c>
      <c r="U59" s="42" t="e">
        <f ca="1">VLOOKUP(A59,#REF!,22,0)</f>
        <v>#REF!</v>
      </c>
      <c r="V59" s="42" t="e">
        <f ca="1">VLOOKUP(A59,#REF!,23,0)</f>
        <v>#REF!</v>
      </c>
      <c r="W59" s="42" t="e">
        <f t="shared" ca="1" si="0"/>
        <v>#REF!</v>
      </c>
      <c r="X59" s="43"/>
      <c r="Y59" s="44" t="e">
        <f t="shared" ref="Y59:AC59" ca="1" si="58">R59/$W59*$AD59</f>
        <v>#REF!</v>
      </c>
      <c r="Z59" s="44" t="e">
        <f t="shared" ca="1" si="58"/>
        <v>#REF!</v>
      </c>
      <c r="AA59" s="44" t="e">
        <f t="shared" ca="1" si="58"/>
        <v>#REF!</v>
      </c>
      <c r="AB59" s="44" t="e">
        <f t="shared" ca="1" si="58"/>
        <v>#REF!</v>
      </c>
      <c r="AC59" s="44" t="e">
        <f t="shared" ca="1" si="58"/>
        <v>#REF!</v>
      </c>
      <c r="AD59" s="44" t="e">
        <f t="shared" ca="1" si="2"/>
        <v>#REF!</v>
      </c>
      <c r="AE59" s="38"/>
    </row>
    <row r="60" spans="1:31" ht="13" x14ac:dyDescent="0.15">
      <c r="A60" s="35" t="str">
        <f ca="1">IFERROR(__xludf.DUMMYFUNCTION("""COMPUTED_VALUE"""),"in")</f>
        <v>in</v>
      </c>
      <c r="B60" s="36" t="str">
        <f ca="1">IFERROR(__xludf.DUMMYFUNCTION("""COMPUTED_VALUE"""),"India")</f>
        <v>India</v>
      </c>
      <c r="C60" s="200">
        <f ca="1">IFERROR(__xludf.DUMMYFUNCTION("""COMPUTED_VALUE"""),24.48)</f>
        <v>24.48</v>
      </c>
      <c r="D60" s="201"/>
      <c r="E60" s="201"/>
      <c r="F60" s="202"/>
      <c r="G60" s="37" t="e">
        <f ca="1">VLOOKUP(A60,#REF!,11,0)</f>
        <v>#REF!</v>
      </c>
      <c r="H60" s="38"/>
      <c r="I60" s="45" t="str">
        <f ca="1">IFERROR(__xludf.DUMMYFUNCTION("""COMPUTED_VALUE"""),"in")</f>
        <v>in</v>
      </c>
      <c r="J60" s="38" t="str">
        <f ca="1">IFERROR(__xludf.DUMMYFUNCTION("""COMPUTED_VALUE"""),"India")</f>
        <v>India</v>
      </c>
      <c r="K60" s="204">
        <f ca="1">IFERROR(__xludf.DUMMYFUNCTION("""COMPUTED_VALUE"""),24.48)</f>
        <v>24.48</v>
      </c>
      <c r="L60" s="199"/>
      <c r="M60" s="199"/>
      <c r="N60" s="199"/>
      <c r="O60" s="46" t="e">
        <f ca="1">VLOOKUP(A60,#REF!,11,0)</f>
        <v>#REF!</v>
      </c>
      <c r="P60" s="38"/>
      <c r="Q60" s="38"/>
      <c r="R60" s="42" t="e">
        <f ca="1">VLOOKUP(A60,#REF!,19,0)</f>
        <v>#REF!</v>
      </c>
      <c r="S60" s="42" t="e">
        <f ca="1">VLOOKUP(A60,#REF!,20,0)</f>
        <v>#REF!</v>
      </c>
      <c r="T60" s="42" t="e">
        <f ca="1">VLOOKUP(A60,#REF!,21,0)</f>
        <v>#REF!</v>
      </c>
      <c r="U60" s="42" t="e">
        <f ca="1">VLOOKUP(A60,#REF!,22,0)</f>
        <v>#REF!</v>
      </c>
      <c r="V60" s="42" t="e">
        <f ca="1">VLOOKUP(A60,#REF!,23,0)</f>
        <v>#REF!</v>
      </c>
      <c r="W60" s="42" t="e">
        <f t="shared" ca="1" si="0"/>
        <v>#REF!</v>
      </c>
      <c r="X60" s="43"/>
      <c r="Y60" s="44" t="e">
        <f t="shared" ref="Y60:AC60" ca="1" si="59">R60/$W60*$AD60</f>
        <v>#REF!</v>
      </c>
      <c r="Z60" s="44" t="e">
        <f t="shared" ca="1" si="59"/>
        <v>#REF!</v>
      </c>
      <c r="AA60" s="44" t="e">
        <f t="shared" ca="1" si="59"/>
        <v>#REF!</v>
      </c>
      <c r="AB60" s="44" t="e">
        <f t="shared" ca="1" si="59"/>
        <v>#REF!</v>
      </c>
      <c r="AC60" s="44" t="e">
        <f t="shared" ca="1" si="59"/>
        <v>#REF!</v>
      </c>
      <c r="AD60" s="44" t="e">
        <f t="shared" ca="1" si="2"/>
        <v>#REF!</v>
      </c>
      <c r="AE60" s="38"/>
    </row>
    <row r="61" spans="1:31" ht="13" x14ac:dyDescent="0.15">
      <c r="A61" s="35" t="str">
        <f ca="1">IFERROR(__xludf.DUMMYFUNCTION("""COMPUTED_VALUE"""),"ar")</f>
        <v>ar</v>
      </c>
      <c r="B61" s="36" t="str">
        <f ca="1">IFERROR(__xludf.DUMMYFUNCTION("""COMPUTED_VALUE"""),"Argentina")</f>
        <v>Argentina</v>
      </c>
      <c r="C61" s="200">
        <f ca="1">IFERROR(__xludf.DUMMYFUNCTION("""COMPUTED_VALUE"""),23.87)</f>
        <v>23.87</v>
      </c>
      <c r="D61" s="201"/>
      <c r="E61" s="201"/>
      <c r="F61" s="202"/>
      <c r="G61" s="37" t="e">
        <f ca="1">VLOOKUP(A61,#REF!,11,0)</f>
        <v>#REF!</v>
      </c>
      <c r="H61" s="38"/>
      <c r="I61" s="45" t="str">
        <f ca="1">IFERROR(__xludf.DUMMYFUNCTION("""COMPUTED_VALUE"""),"ar")</f>
        <v>ar</v>
      </c>
      <c r="J61" s="38" t="str">
        <f ca="1">IFERROR(__xludf.DUMMYFUNCTION("""COMPUTED_VALUE"""),"Argentina")</f>
        <v>Argentina</v>
      </c>
      <c r="K61" s="204">
        <f ca="1">IFERROR(__xludf.DUMMYFUNCTION("""COMPUTED_VALUE"""),23.87)</f>
        <v>23.87</v>
      </c>
      <c r="L61" s="199"/>
      <c r="M61" s="199"/>
      <c r="N61" s="199"/>
      <c r="O61" s="46" t="e">
        <f ca="1">VLOOKUP(A61,#REF!,11,0)</f>
        <v>#REF!</v>
      </c>
      <c r="P61" s="38"/>
      <c r="Q61" s="38"/>
      <c r="R61" s="42" t="e">
        <f ca="1">VLOOKUP(A61,#REF!,19,0)</f>
        <v>#REF!</v>
      </c>
      <c r="S61" s="42" t="e">
        <f ca="1">VLOOKUP(A61,#REF!,20,0)</f>
        <v>#REF!</v>
      </c>
      <c r="T61" s="42" t="e">
        <f ca="1">VLOOKUP(A61,#REF!,21,0)</f>
        <v>#REF!</v>
      </c>
      <c r="U61" s="42" t="e">
        <f ca="1">VLOOKUP(A61,#REF!,22,0)</f>
        <v>#REF!</v>
      </c>
      <c r="V61" s="42" t="e">
        <f ca="1">VLOOKUP(A61,#REF!,23,0)</f>
        <v>#REF!</v>
      </c>
      <c r="W61" s="42" t="e">
        <f t="shared" ca="1" si="0"/>
        <v>#REF!</v>
      </c>
      <c r="X61" s="43"/>
      <c r="Y61" s="44" t="e">
        <f t="shared" ref="Y61:AC61" ca="1" si="60">R61/$W61*$AD61</f>
        <v>#REF!</v>
      </c>
      <c r="Z61" s="44" t="e">
        <f t="shared" ca="1" si="60"/>
        <v>#REF!</v>
      </c>
      <c r="AA61" s="44" t="e">
        <f t="shared" ca="1" si="60"/>
        <v>#REF!</v>
      </c>
      <c r="AB61" s="44" t="e">
        <f t="shared" ca="1" si="60"/>
        <v>#REF!</v>
      </c>
      <c r="AC61" s="44" t="e">
        <f t="shared" ca="1" si="60"/>
        <v>#REF!</v>
      </c>
      <c r="AD61" s="44" t="e">
        <f t="shared" ca="1" si="2"/>
        <v>#REF!</v>
      </c>
      <c r="AE61" s="38"/>
    </row>
    <row r="62" spans="1:31" ht="13" x14ac:dyDescent="0.15">
      <c r="A62" s="203" t="s">
        <v>204</v>
      </c>
      <c r="B62" s="201"/>
      <c r="C62" s="201"/>
      <c r="D62" s="201"/>
      <c r="E62" s="201"/>
      <c r="F62" s="201"/>
      <c r="G62" s="202"/>
      <c r="H62" s="38"/>
      <c r="I62" s="48"/>
      <c r="J62" s="49"/>
      <c r="K62" s="205"/>
      <c r="L62" s="201"/>
      <c r="M62" s="201"/>
      <c r="N62" s="201"/>
      <c r="O62" s="37"/>
      <c r="P62" s="38"/>
      <c r="Q62" s="38"/>
      <c r="R62" s="42"/>
      <c r="S62" s="42"/>
      <c r="T62" s="42"/>
      <c r="U62" s="42"/>
      <c r="V62" s="42"/>
      <c r="W62" s="42"/>
      <c r="X62" s="43"/>
      <c r="Y62" s="44"/>
      <c r="Z62" s="44"/>
      <c r="AA62" s="44"/>
      <c r="AB62" s="44"/>
      <c r="AC62" s="44"/>
      <c r="AD62" s="44"/>
      <c r="AE62" s="38"/>
    </row>
  </sheetData>
  <mergeCells count="128">
    <mergeCell ref="K17:N17"/>
    <mergeCell ref="K18:N18"/>
    <mergeCell ref="K19:N19"/>
    <mergeCell ref="K20:N20"/>
    <mergeCell ref="K21:N21"/>
    <mergeCell ref="K22:N22"/>
    <mergeCell ref="K23:N23"/>
    <mergeCell ref="K24:N24"/>
    <mergeCell ref="C12:F12"/>
    <mergeCell ref="C13:F13"/>
    <mergeCell ref="C14:F14"/>
    <mergeCell ref="C15:F15"/>
    <mergeCell ref="C16:F16"/>
    <mergeCell ref="K11:N11"/>
    <mergeCell ref="K12:N12"/>
    <mergeCell ref="K13:N13"/>
    <mergeCell ref="K14:N14"/>
    <mergeCell ref="K15:N15"/>
    <mergeCell ref="K16:N16"/>
    <mergeCell ref="C7:F7"/>
    <mergeCell ref="K7:N7"/>
    <mergeCell ref="C8:F8"/>
    <mergeCell ref="K8:N8"/>
    <mergeCell ref="C9:F9"/>
    <mergeCell ref="K9:N9"/>
    <mergeCell ref="K10:N10"/>
    <mergeCell ref="C10:F10"/>
    <mergeCell ref="C11:F11"/>
    <mergeCell ref="A1:G1"/>
    <mergeCell ref="I1:O1"/>
    <mergeCell ref="R1:W1"/>
    <mergeCell ref="AA1:AD1"/>
    <mergeCell ref="A2:B2"/>
    <mergeCell ref="I2:J2"/>
    <mergeCell ref="K2:N2"/>
    <mergeCell ref="K5:N5"/>
    <mergeCell ref="K6:N6"/>
    <mergeCell ref="C2:F2"/>
    <mergeCell ref="C3:F3"/>
    <mergeCell ref="K3:N3"/>
    <mergeCell ref="C4:F4"/>
    <mergeCell ref="K4:N4"/>
    <mergeCell ref="C5:F5"/>
    <mergeCell ref="C6:F6"/>
    <mergeCell ref="K52:N52"/>
    <mergeCell ref="K60:N60"/>
    <mergeCell ref="K61:N61"/>
    <mergeCell ref="K62:N62"/>
    <mergeCell ref="K53:N53"/>
    <mergeCell ref="K54:N54"/>
    <mergeCell ref="K55:N55"/>
    <mergeCell ref="K56:N56"/>
    <mergeCell ref="K57:N57"/>
    <mergeCell ref="K58:N58"/>
    <mergeCell ref="K59:N59"/>
    <mergeCell ref="K43:N43"/>
    <mergeCell ref="K44:N44"/>
    <mergeCell ref="K45:N45"/>
    <mergeCell ref="K46:N46"/>
    <mergeCell ref="K47:N47"/>
    <mergeCell ref="K48:N48"/>
    <mergeCell ref="K49:N49"/>
    <mergeCell ref="K50:N50"/>
    <mergeCell ref="K51:N51"/>
    <mergeCell ref="K34:N34"/>
    <mergeCell ref="K35:N35"/>
    <mergeCell ref="K36:N36"/>
    <mergeCell ref="K37:N37"/>
    <mergeCell ref="K38:N38"/>
    <mergeCell ref="K39:N39"/>
    <mergeCell ref="K40:N40"/>
    <mergeCell ref="K41:N41"/>
    <mergeCell ref="K42:N42"/>
    <mergeCell ref="K25:N25"/>
    <mergeCell ref="K26:N26"/>
    <mergeCell ref="K27:N27"/>
    <mergeCell ref="K28:N28"/>
    <mergeCell ref="K29:N29"/>
    <mergeCell ref="K30:N30"/>
    <mergeCell ref="K31:N31"/>
    <mergeCell ref="K32:N32"/>
    <mergeCell ref="K33:N33"/>
    <mergeCell ref="C60:F60"/>
    <mergeCell ref="C61:F61"/>
    <mergeCell ref="A62:G62"/>
    <mergeCell ref="C52:F52"/>
    <mergeCell ref="C53:F53"/>
    <mergeCell ref="C54:F54"/>
    <mergeCell ref="C55:F55"/>
    <mergeCell ref="C56:F56"/>
    <mergeCell ref="C57:F57"/>
    <mergeCell ref="C58:F58"/>
    <mergeCell ref="C44:F44"/>
    <mergeCell ref="C45:F45"/>
    <mergeCell ref="C46:F46"/>
    <mergeCell ref="C47:F47"/>
    <mergeCell ref="C48:F48"/>
    <mergeCell ref="C49:F49"/>
    <mergeCell ref="C50:F50"/>
    <mergeCell ref="C51:F51"/>
    <mergeCell ref="C59:F59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F251"/>
  <sheetViews>
    <sheetView workbookViewId="0"/>
  </sheetViews>
  <sheetFormatPr baseColWidth="10" defaultColWidth="12.6640625" defaultRowHeight="15.75" customHeight="1" x14ac:dyDescent="0.15"/>
  <sheetData>
    <row r="1" spans="1:32" ht="15.75" customHeight="1" x14ac:dyDescent="0.15">
      <c r="A1" s="50" t="str">
        <f ca="1">IFERROR(__xludf.DUMMYFUNCTION("IMPORTRANGE(""https://docs.google.com/spreadsheets/d/1aHGHakrEEwLJbSD-2oAonb3_L3Ek9HgBm_iEVgp-Z7Y/edit#gid=0"",""ALL!1:1000"")"),"List of codes (ISO)")</f>
        <v>List of codes (ISO)</v>
      </c>
      <c r="B1" s="14" t="str">
        <f ca="1">IFERROR(__xludf.DUMMYFUNCTION("""COMPUTED_VALUE"""),"EN")</f>
        <v>EN</v>
      </c>
      <c r="C1" s="14" t="str">
        <f ca="1">IFERROR(__xludf.DUMMYFUNCTION("""COMPUTED_VALUE"""),"AR")</f>
        <v>AR</v>
      </c>
      <c r="D1" s="14" t="str">
        <f ca="1">IFERROR(__xludf.DUMMYFUNCTION("""COMPUTED_VALUE"""),"BG")</f>
        <v>BG</v>
      </c>
      <c r="E1" s="14" t="str">
        <f ca="1">IFERROR(__xludf.DUMMYFUNCTION("""COMPUTED_VALUE"""),"BR")</f>
        <v>BR</v>
      </c>
      <c r="F1" s="14" t="str">
        <f ca="1">IFERROR(__xludf.DUMMYFUNCTION("""COMPUTED_VALUE"""),"BY")</f>
        <v>BY</v>
      </c>
      <c r="G1" s="14" t="str">
        <f ca="1">IFERROR(__xludf.DUMMYFUNCTION("""COMPUTED_VALUE"""),"CZ")</f>
        <v>CZ</v>
      </c>
      <c r="H1" s="14" t="str">
        <f ca="1">IFERROR(__xludf.DUMMYFUNCTION("""COMPUTED_VALUE"""),"DE")</f>
        <v>DE</v>
      </c>
      <c r="I1" s="14" t="str">
        <f ca="1">IFERROR(__xludf.DUMMYFUNCTION("""COMPUTED_VALUE"""),"ES")</f>
        <v>ES</v>
      </c>
      <c r="J1" s="14" t="str">
        <f ca="1">IFERROR(__xludf.DUMMYFUNCTION("""COMPUTED_VALUE"""),"FI")</f>
        <v>FI</v>
      </c>
      <c r="K1" s="14" t="str">
        <f ca="1">IFERROR(__xludf.DUMMYFUNCTION("""COMPUTED_VALUE"""),"GR")</f>
        <v>GR</v>
      </c>
      <c r="L1" s="14" t="str">
        <f ca="1">IFERROR(__xludf.DUMMYFUNCTION("""COMPUTED_VALUE"""),"GR CAPS")</f>
        <v>GR CAPS</v>
      </c>
      <c r="M1" s="14" t="str">
        <f ca="1">IFERROR(__xludf.DUMMYFUNCTION("""COMPUTED_VALUE"""),"HR")</f>
        <v>HR</v>
      </c>
      <c r="N1" s="14" t="str">
        <f ca="1">IFERROR(__xludf.DUMMYFUNCTION("""COMPUTED_VALUE"""),"HU")</f>
        <v>HU</v>
      </c>
      <c r="O1" s="14" t="str">
        <f ca="1">IFERROR(__xludf.DUMMYFUNCTION("""COMPUTED_VALUE"""),"ID")</f>
        <v>ID</v>
      </c>
      <c r="P1" s="14" t="str">
        <f ca="1">IFERROR(__xludf.DUMMYFUNCTION("""COMPUTED_VALUE"""),"IT")</f>
        <v>IT</v>
      </c>
      <c r="Q1" s="14" t="str">
        <f ca="1">IFERROR(__xludf.DUMMYFUNCTION("""COMPUTED_VALUE"""),"KR")</f>
        <v>KR</v>
      </c>
      <c r="R1" s="14" t="str">
        <f ca="1">IFERROR(__xludf.DUMMYFUNCTION("""COMPUTED_VALUE"""),"PL")</f>
        <v>PL</v>
      </c>
      <c r="S1" s="14" t="str">
        <f ca="1">IFERROR(__xludf.DUMMYFUNCTION("""COMPUTED_VALUE"""),"PT")</f>
        <v>PT</v>
      </c>
      <c r="T1" s="14" t="str">
        <f ca="1">IFERROR(__xludf.DUMMYFUNCTION("""COMPUTED_VALUE"""),"RO")</f>
        <v>RO</v>
      </c>
      <c r="U1" s="14" t="str">
        <f ca="1">IFERROR(__xludf.DUMMYFUNCTION("""COMPUTED_VALUE"""),"RS")</f>
        <v>RS</v>
      </c>
      <c r="V1" s="14" t="str">
        <f ca="1">IFERROR(__xludf.DUMMYFUNCTION("""COMPUTED_VALUE"""),"RU")</f>
        <v>RU</v>
      </c>
      <c r="W1" s="14" t="str">
        <f ca="1">IFERROR(__xludf.DUMMYFUNCTION("""COMPUTED_VALUE"""),"SE")</f>
        <v>SE</v>
      </c>
      <c r="X1" s="14" t="str">
        <f ca="1">IFERROR(__xludf.DUMMYFUNCTION("""COMPUTED_VALUE"""),"SI")</f>
        <v>SI</v>
      </c>
      <c r="Y1" s="14" t="str">
        <f ca="1">IFERROR(__xludf.DUMMYFUNCTION("""COMPUTED_VALUE"""),"SK")</f>
        <v>SK</v>
      </c>
      <c r="Z1" s="14" t="str">
        <f ca="1">IFERROR(__xludf.DUMMYFUNCTION("""COMPUTED_VALUE"""),"TH")</f>
        <v>TH</v>
      </c>
      <c r="AA1" s="14" t="str">
        <f ca="1">IFERROR(__xludf.DUMMYFUNCTION("""COMPUTED_VALUE"""),"TR")</f>
        <v>TR</v>
      </c>
      <c r="AB1" s="14" t="str">
        <f ca="1">IFERROR(__xludf.DUMMYFUNCTION("""COMPUTED_VALUE"""),"TR CAPS")</f>
        <v>TR CAPS</v>
      </c>
      <c r="AC1" s="14" t="str">
        <f ca="1">IFERROR(__xludf.DUMMYFUNCTION("""COMPUTED_VALUE"""),"UA")</f>
        <v>UA</v>
      </c>
      <c r="AD1" s="14" t="str">
        <f ca="1">IFERROR(__xludf.DUMMYFUNCTION("""COMPUTED_VALUE"""),"VN")</f>
        <v>VN</v>
      </c>
      <c r="AE1" s="14" t="str">
        <f ca="1">IFERROR(__xludf.DUMMYFUNCTION("""COMPUTED_VALUE"""),"KZ")</f>
        <v>KZ</v>
      </c>
      <c r="AF1" s="14"/>
    </row>
    <row r="2" spans="1:32" ht="15.75" customHeight="1" x14ac:dyDescent="0.15">
      <c r="A2" s="14" t="str">
        <f ca="1">IFERROR(__xludf.DUMMYFUNCTION("""COMPUTED_VALUE"""),"AD")</f>
        <v>AD</v>
      </c>
      <c r="B2" s="14" t="str">
        <f ca="1">IFERROR(__xludf.DUMMYFUNCTION("""COMPUTED_VALUE"""),"Andorra")</f>
        <v>Andorra</v>
      </c>
      <c r="C2" s="14" t="str">
        <f ca="1">IFERROR(__xludf.DUMMYFUNCTION("""COMPUTED_VALUE"""),"أندورا")</f>
        <v>أندورا</v>
      </c>
      <c r="D2" s="14" t="str">
        <f ca="1">IFERROR(__xludf.DUMMYFUNCTION("""COMPUTED_VALUE"""),"Андора")</f>
        <v>Андора</v>
      </c>
      <c r="E2" s="14" t="str">
        <f ca="1">IFERROR(__xludf.DUMMYFUNCTION("""COMPUTED_VALUE"""),"Andorra")</f>
        <v>Andorra</v>
      </c>
      <c r="F2" s="14" t="str">
        <f ca="1">IFERROR(__xludf.DUMMYFUNCTION("""COMPUTED_VALUE"""),"Андора")</f>
        <v>Андора</v>
      </c>
      <c r="G2" s="14" t="str">
        <f ca="1">IFERROR(__xludf.DUMMYFUNCTION("""COMPUTED_VALUE"""),"Andorra")</f>
        <v>Andorra</v>
      </c>
      <c r="H2" s="14" t="str">
        <f ca="1">IFERROR(__xludf.DUMMYFUNCTION("""COMPUTED_VALUE"""),"Andorra")</f>
        <v>Andorra</v>
      </c>
      <c r="I2" s="14" t="str">
        <f ca="1">IFERROR(__xludf.DUMMYFUNCTION("""COMPUTED_VALUE"""),"Andorra")</f>
        <v>Andorra</v>
      </c>
      <c r="J2" s="14" t="str">
        <f ca="1">IFERROR(__xludf.DUMMYFUNCTION("""COMPUTED_VALUE"""),"Andorra")</f>
        <v>Andorra</v>
      </c>
      <c r="K2" s="14" t="str">
        <f ca="1">IFERROR(__xludf.DUMMYFUNCTION("""COMPUTED_VALUE"""),"Ανδόρρα")</f>
        <v>Ανδόρρα</v>
      </c>
      <c r="L2" s="14" t="str">
        <f ca="1">IFERROR(__xludf.DUMMYFUNCTION("""COMPUTED_VALUE"""),"ΑΝΔΟΡΡΑ")</f>
        <v>ΑΝΔΟΡΡΑ</v>
      </c>
      <c r="M2" s="14" t="str">
        <f ca="1">IFERROR(__xludf.DUMMYFUNCTION("""COMPUTED_VALUE"""),"Andora")</f>
        <v>Andora</v>
      </c>
      <c r="N2" s="14" t="str">
        <f ca="1">IFERROR(__xludf.DUMMYFUNCTION("""COMPUTED_VALUE"""),"Andorra")</f>
        <v>Andorra</v>
      </c>
      <c r="O2" s="14" t="str">
        <f ca="1">IFERROR(__xludf.DUMMYFUNCTION("""COMPUTED_VALUE"""),"Andorra")</f>
        <v>Andorra</v>
      </c>
      <c r="P2" s="14" t="str">
        <f ca="1">IFERROR(__xludf.DUMMYFUNCTION("""COMPUTED_VALUE"""),"Andorra")</f>
        <v>Andorra</v>
      </c>
      <c r="Q2" s="14" t="str">
        <f ca="1">IFERROR(__xludf.DUMMYFUNCTION("""COMPUTED_VALUE"""),"안도라")</f>
        <v>안도라</v>
      </c>
      <c r="R2" s="14" t="str">
        <f ca="1">IFERROR(__xludf.DUMMYFUNCTION("""COMPUTED_VALUE"""),"Andora")</f>
        <v>Andora</v>
      </c>
      <c r="S2" s="14" t="str">
        <f ca="1">IFERROR(__xludf.DUMMYFUNCTION("""COMPUTED_VALUE"""),"Andorra")</f>
        <v>Andorra</v>
      </c>
      <c r="T2" s="14" t="str">
        <f ca="1">IFERROR(__xludf.DUMMYFUNCTION("""COMPUTED_VALUE"""),"Andorra")</f>
        <v>Andorra</v>
      </c>
      <c r="U2" s="14" t="str">
        <f ca="1">IFERROR(__xludf.DUMMYFUNCTION("""COMPUTED_VALUE"""),"Andora")</f>
        <v>Andora</v>
      </c>
      <c r="V2" s="14" t="str">
        <f ca="1">IFERROR(__xludf.DUMMYFUNCTION("""COMPUTED_VALUE"""),"Андорра")</f>
        <v>Андорра</v>
      </c>
      <c r="W2" s="14" t="str">
        <f ca="1">IFERROR(__xludf.DUMMYFUNCTION("""COMPUTED_VALUE"""),"Andorra")</f>
        <v>Andorra</v>
      </c>
      <c r="X2" s="14" t="str">
        <f ca="1">IFERROR(__xludf.DUMMYFUNCTION("""COMPUTED_VALUE"""),"Andora")</f>
        <v>Andora</v>
      </c>
      <c r="Y2" s="14" t="str">
        <f ca="1">IFERROR(__xludf.DUMMYFUNCTION("""COMPUTED_VALUE"""),"Andorra")</f>
        <v>Andorra</v>
      </c>
      <c r="Z2" s="14" t="str">
        <f ca="1">IFERROR(__xludf.DUMMYFUNCTION("""COMPUTED_VALUE"""),"อันดอร์รา")</f>
        <v>อันดอร์รา</v>
      </c>
      <c r="AA2" s="14" t="str">
        <f ca="1">IFERROR(__xludf.DUMMYFUNCTION("""COMPUTED_VALUE"""),"Andorra")</f>
        <v>Andorra</v>
      </c>
      <c r="AB2" s="14" t="str">
        <f ca="1">IFERROR(__xludf.DUMMYFUNCTION("""COMPUTED_VALUE"""),"ANDORRA")</f>
        <v>ANDORRA</v>
      </c>
      <c r="AC2" s="14" t="str">
        <f ca="1">IFERROR(__xludf.DUMMYFUNCTION("""COMPUTED_VALUE"""),"Андорра")</f>
        <v>Андорра</v>
      </c>
      <c r="AD2" s="14" t="str">
        <f ca="1">IFERROR(__xludf.DUMMYFUNCTION("""COMPUTED_VALUE"""),"Andorra")</f>
        <v>Andorra</v>
      </c>
      <c r="AE2" s="14" t="str">
        <f ca="1">IFERROR(__xludf.DUMMYFUNCTION("""COMPUTED_VALUE"""),"Андорра")</f>
        <v>Андорра</v>
      </c>
      <c r="AF2" s="14"/>
    </row>
    <row r="3" spans="1:32" ht="15.75" customHeight="1" x14ac:dyDescent="0.15">
      <c r="A3" s="14" t="str">
        <f ca="1">IFERROR(__xludf.DUMMYFUNCTION("""COMPUTED_VALUE"""),"AE")</f>
        <v>AE</v>
      </c>
      <c r="B3" s="14" t="str">
        <f ca="1">IFERROR(__xludf.DUMMYFUNCTION("""COMPUTED_VALUE"""),"UAE")</f>
        <v>UAE</v>
      </c>
      <c r="C3" s="14" t="str">
        <f ca="1">IFERROR(__xludf.DUMMYFUNCTION("""COMPUTED_VALUE"""),"الامارات العربية المتحدة")</f>
        <v>الامارات العربية المتحدة</v>
      </c>
      <c r="D3" s="14" t="str">
        <f ca="1">IFERROR(__xludf.DUMMYFUNCTION("""COMPUTED_VALUE"""),"ОАЕ")</f>
        <v>ОАЕ</v>
      </c>
      <c r="E3" s="14" t="str">
        <f ca="1">IFERROR(__xludf.DUMMYFUNCTION("""COMPUTED_VALUE"""),"EAU")</f>
        <v>EAU</v>
      </c>
      <c r="F3" s="14" t="str">
        <f ca="1">IFERROR(__xludf.DUMMYFUNCTION("""COMPUTED_VALUE"""),"ААЭ")</f>
        <v>ААЭ</v>
      </c>
      <c r="G3" s="14" t="str">
        <f ca="1">IFERROR(__xludf.DUMMYFUNCTION("""COMPUTED_VALUE"""),"SAE")</f>
        <v>SAE</v>
      </c>
      <c r="H3" s="14" t="str">
        <f ca="1">IFERROR(__xludf.DUMMYFUNCTION("""COMPUTED_VALUE"""),"VAE")</f>
        <v>VAE</v>
      </c>
      <c r="I3" s="14" t="str">
        <f ca="1">IFERROR(__xludf.DUMMYFUNCTION("""COMPUTED_VALUE"""),"EAU")</f>
        <v>EAU</v>
      </c>
      <c r="J3" s="14" t="str">
        <f ca="1">IFERROR(__xludf.DUMMYFUNCTION("""COMPUTED_VALUE"""),"Arabiemiirikunnat")</f>
        <v>Arabiemiirikunnat</v>
      </c>
      <c r="K3" s="14" t="str">
        <f ca="1">IFERROR(__xludf.DUMMYFUNCTION("""COMPUTED_VALUE"""),"ΗΑΕ")</f>
        <v>ΗΑΕ</v>
      </c>
      <c r="L3" s="14" t="str">
        <f ca="1">IFERROR(__xludf.DUMMYFUNCTION("""COMPUTED_VALUE"""),"ΗΑΕ")</f>
        <v>ΗΑΕ</v>
      </c>
      <c r="M3" s="14" t="str">
        <f ca="1">IFERROR(__xludf.DUMMYFUNCTION("""COMPUTED_VALUE"""),"UAE")</f>
        <v>UAE</v>
      </c>
      <c r="N3" s="14" t="str">
        <f ca="1">IFERROR(__xludf.DUMMYFUNCTION("""COMPUTED_VALUE"""),"EAE")</f>
        <v>EAE</v>
      </c>
      <c r="O3" s="14" t="str">
        <f ca="1">IFERROR(__xludf.DUMMYFUNCTION("""COMPUTED_VALUE"""),"UEA")</f>
        <v>UEA</v>
      </c>
      <c r="P3" s="14" t="str">
        <f ca="1">IFERROR(__xludf.DUMMYFUNCTION("""COMPUTED_VALUE"""),"EAU")</f>
        <v>EAU</v>
      </c>
      <c r="Q3" s="14" t="str">
        <f ca="1">IFERROR(__xludf.DUMMYFUNCTION("""COMPUTED_VALUE"""),"아랍에미리트")</f>
        <v>아랍에미리트</v>
      </c>
      <c r="R3" s="14" t="str">
        <f ca="1">IFERROR(__xludf.DUMMYFUNCTION("""COMPUTED_VALUE"""),"ZEA")</f>
        <v>ZEA</v>
      </c>
      <c r="S3" s="14" t="str">
        <f ca="1">IFERROR(__xludf.DUMMYFUNCTION("""COMPUTED_VALUE"""),"EAU")</f>
        <v>EAU</v>
      </c>
      <c r="T3" s="14" t="str">
        <f ca="1">IFERROR(__xludf.DUMMYFUNCTION("""COMPUTED_VALUE"""),"EAU")</f>
        <v>EAU</v>
      </c>
      <c r="U3" s="14" t="str">
        <f ca="1">IFERROR(__xludf.DUMMYFUNCTION("""COMPUTED_VALUE"""),"UAE")</f>
        <v>UAE</v>
      </c>
      <c r="V3" s="14" t="str">
        <f ca="1">IFERROR(__xludf.DUMMYFUNCTION("""COMPUTED_VALUE"""),"ОАЭ")</f>
        <v>ОАЭ</v>
      </c>
      <c r="W3" s="14" t="str">
        <f ca="1">IFERROR(__xludf.DUMMYFUNCTION("""COMPUTED_VALUE"""),"FAE")</f>
        <v>FAE</v>
      </c>
      <c r="X3" s="14" t="str">
        <f ca="1">IFERROR(__xludf.DUMMYFUNCTION("""COMPUTED_VALUE"""),"Združeni arabski emirati")</f>
        <v>Združeni arabski emirati</v>
      </c>
      <c r="Y3" s="14" t="str">
        <f ca="1">IFERROR(__xludf.DUMMYFUNCTION("""COMPUTED_VALUE"""),"SAE")</f>
        <v>SAE</v>
      </c>
      <c r="Z3" s="14" t="str">
        <f ca="1">IFERROR(__xludf.DUMMYFUNCTION("""COMPUTED_VALUE"""),"สหรัฐอาหรับเอมิเรตส์")</f>
        <v>สหรัฐอาหรับเอมิเรตส์</v>
      </c>
      <c r="AA3" s="14" t="str">
        <f ca="1">IFERROR(__xludf.DUMMYFUNCTION("""COMPUTED_VALUE"""),"Birleşik Arap Emirlikleri")</f>
        <v>Birleşik Arap Emirlikleri</v>
      </c>
      <c r="AB3" s="14" t="str">
        <f ca="1">IFERROR(__xludf.DUMMYFUNCTION("""COMPUTED_VALUE"""),"BAE")</f>
        <v>BAE</v>
      </c>
      <c r="AC3" s="14" t="str">
        <f ca="1">IFERROR(__xludf.DUMMYFUNCTION("""COMPUTED_VALUE"""),"ОАЕ")</f>
        <v>ОАЕ</v>
      </c>
      <c r="AD3" s="14" t="str">
        <f ca="1">IFERROR(__xludf.DUMMYFUNCTION("""COMPUTED_VALUE"""),"Các Tiểu Vương quốc Ả Rập Thống nhất")</f>
        <v>Các Tiểu Vương quốc Ả Rập Thống nhất</v>
      </c>
      <c r="AE3" s="14" t="str">
        <f ca="1">IFERROR(__xludf.DUMMYFUNCTION("""COMPUTED_VALUE"""),"БАӘ")</f>
        <v>БАӘ</v>
      </c>
      <c r="AF3" s="14"/>
    </row>
    <row r="4" spans="1:32" ht="15.75" customHeight="1" x14ac:dyDescent="0.15">
      <c r="A4" s="14" t="str">
        <f ca="1">IFERROR(__xludf.DUMMYFUNCTION("""COMPUTED_VALUE"""),"AF")</f>
        <v>AF</v>
      </c>
      <c r="B4" s="14" t="str">
        <f ca="1">IFERROR(__xludf.DUMMYFUNCTION("""COMPUTED_VALUE"""),"Afghanistan")</f>
        <v>Afghanistan</v>
      </c>
      <c r="C4" s="14" t="str">
        <f ca="1">IFERROR(__xludf.DUMMYFUNCTION("""COMPUTED_VALUE"""),"أفغانستان")</f>
        <v>أفغانستان</v>
      </c>
      <c r="D4" s="14" t="str">
        <f ca="1">IFERROR(__xludf.DUMMYFUNCTION("""COMPUTED_VALUE"""),"Афганистан")</f>
        <v>Афганистан</v>
      </c>
      <c r="E4" s="14" t="str">
        <f ca="1">IFERROR(__xludf.DUMMYFUNCTION("""COMPUTED_VALUE"""),"Afeganistão")</f>
        <v>Afeganistão</v>
      </c>
      <c r="F4" s="14" t="str">
        <f ca="1">IFERROR(__xludf.DUMMYFUNCTION("""COMPUTED_VALUE"""),"Афганістан")</f>
        <v>Афганістан</v>
      </c>
      <c r="G4" s="14" t="str">
        <f ca="1">IFERROR(__xludf.DUMMYFUNCTION("""COMPUTED_VALUE"""),"Afghánistán")</f>
        <v>Afghánistán</v>
      </c>
      <c r="H4" s="14" t="str">
        <f ca="1">IFERROR(__xludf.DUMMYFUNCTION("""COMPUTED_VALUE"""),"Afghanistan")</f>
        <v>Afghanistan</v>
      </c>
      <c r="I4" s="14" t="str">
        <f ca="1">IFERROR(__xludf.DUMMYFUNCTION("""COMPUTED_VALUE"""),"Afganistán")</f>
        <v>Afganistán</v>
      </c>
      <c r="J4" s="14" t="str">
        <f ca="1">IFERROR(__xludf.DUMMYFUNCTION("""COMPUTED_VALUE"""),"Afganistan")</f>
        <v>Afganistan</v>
      </c>
      <c r="K4" s="14" t="str">
        <f ca="1">IFERROR(__xludf.DUMMYFUNCTION("""COMPUTED_VALUE"""),"Αφγανιστάν")</f>
        <v>Αφγανιστάν</v>
      </c>
      <c r="L4" s="14" t="str">
        <f ca="1">IFERROR(__xludf.DUMMYFUNCTION("""COMPUTED_VALUE"""),"ΑΦΓΑΝΙΣΤΑΝ")</f>
        <v>ΑΦΓΑΝΙΣΤΑΝ</v>
      </c>
      <c r="M4" s="14" t="str">
        <f ca="1">IFERROR(__xludf.DUMMYFUNCTION("""COMPUTED_VALUE"""),"Afganistan")</f>
        <v>Afganistan</v>
      </c>
      <c r="N4" s="14" t="str">
        <f ca="1">IFERROR(__xludf.DUMMYFUNCTION("""COMPUTED_VALUE"""),"Afganisztán")</f>
        <v>Afganisztán</v>
      </c>
      <c r="O4" s="14" t="str">
        <f ca="1">IFERROR(__xludf.DUMMYFUNCTION("""COMPUTED_VALUE"""),"Afganistan")</f>
        <v>Afganistan</v>
      </c>
      <c r="P4" s="14" t="str">
        <f ca="1">IFERROR(__xludf.DUMMYFUNCTION("""COMPUTED_VALUE"""),"Afghanistan")</f>
        <v>Afghanistan</v>
      </c>
      <c r="Q4" s="14" t="str">
        <f ca="1">IFERROR(__xludf.DUMMYFUNCTION("""COMPUTED_VALUE"""),"아프가니스탄")</f>
        <v>아프가니스탄</v>
      </c>
      <c r="R4" s="14" t="str">
        <f ca="1">IFERROR(__xludf.DUMMYFUNCTION("""COMPUTED_VALUE"""),"Afganistan")</f>
        <v>Afganistan</v>
      </c>
      <c r="S4" s="14" t="str">
        <f ca="1">IFERROR(__xludf.DUMMYFUNCTION("""COMPUTED_VALUE"""),"Afeganistão")</f>
        <v>Afeganistão</v>
      </c>
      <c r="T4" s="14" t="str">
        <f ca="1">IFERROR(__xludf.DUMMYFUNCTION("""COMPUTED_VALUE"""),"Afganistan")</f>
        <v>Afganistan</v>
      </c>
      <c r="U4" s="14" t="str">
        <f ca="1">IFERROR(__xludf.DUMMYFUNCTION("""COMPUTED_VALUE"""),"Avganistan")</f>
        <v>Avganistan</v>
      </c>
      <c r="V4" s="14" t="str">
        <f ca="1">IFERROR(__xludf.DUMMYFUNCTION("""COMPUTED_VALUE"""),"Афганистан")</f>
        <v>Афганистан</v>
      </c>
      <c r="W4" s="14" t="str">
        <f ca="1">IFERROR(__xludf.DUMMYFUNCTION("""COMPUTED_VALUE"""),"Afghanistan")</f>
        <v>Afghanistan</v>
      </c>
      <c r="X4" s="14" t="str">
        <f ca="1">IFERROR(__xludf.DUMMYFUNCTION("""COMPUTED_VALUE"""),"Afganistan")</f>
        <v>Afganistan</v>
      </c>
      <c r="Y4" s="14" t="str">
        <f ca="1">IFERROR(__xludf.DUMMYFUNCTION("""COMPUTED_VALUE"""),"Afganistan")</f>
        <v>Afganistan</v>
      </c>
      <c r="Z4" s="14" t="str">
        <f ca="1">IFERROR(__xludf.DUMMYFUNCTION("""COMPUTED_VALUE"""),"อัฟกานิสถาน")</f>
        <v>อัฟกานิสถาน</v>
      </c>
      <c r="AA4" s="14" t="str">
        <f ca="1">IFERROR(__xludf.DUMMYFUNCTION("""COMPUTED_VALUE"""),"Afganistan")</f>
        <v>Afganistan</v>
      </c>
      <c r="AB4" s="14" t="str">
        <f ca="1">IFERROR(__xludf.DUMMYFUNCTION("""COMPUTED_VALUE"""),"AFGANİSTAN")</f>
        <v>AFGANİSTAN</v>
      </c>
      <c r="AC4" s="14" t="str">
        <f ca="1">IFERROR(__xludf.DUMMYFUNCTION("""COMPUTED_VALUE"""),"Афганістан")</f>
        <v>Афганістан</v>
      </c>
      <c r="AD4" s="14" t="str">
        <f ca="1">IFERROR(__xludf.DUMMYFUNCTION("""COMPUTED_VALUE"""),"Afghanistan")</f>
        <v>Afghanistan</v>
      </c>
      <c r="AE4" s="14" t="str">
        <f ca="1">IFERROR(__xludf.DUMMYFUNCTION("""COMPUTED_VALUE"""),"Ауғанстан")</f>
        <v>Ауғанстан</v>
      </c>
      <c r="AF4" s="14"/>
    </row>
    <row r="5" spans="1:32" ht="15.75" customHeight="1" x14ac:dyDescent="0.15">
      <c r="A5" s="14" t="str">
        <f ca="1">IFERROR(__xludf.DUMMYFUNCTION("""COMPUTED_VALUE"""),"AG")</f>
        <v>AG</v>
      </c>
      <c r="B5" s="14" t="str">
        <f ca="1">IFERROR(__xludf.DUMMYFUNCTION("""COMPUTED_VALUE"""),"Antigua and Barbuda")</f>
        <v>Antigua and Barbuda</v>
      </c>
      <c r="C5" s="14" t="str">
        <f ca="1">IFERROR(__xludf.DUMMYFUNCTION("""COMPUTED_VALUE"""),"أنتيجوا وبربودا")</f>
        <v>أنتيجوا وبربودا</v>
      </c>
      <c r="D5" s="14" t="str">
        <f ca="1">IFERROR(__xludf.DUMMYFUNCTION("""COMPUTED_VALUE"""),"Антигуа и Барбуда")</f>
        <v>Антигуа и Барбуда</v>
      </c>
      <c r="E5" s="14" t="str">
        <f ca="1">IFERROR(__xludf.DUMMYFUNCTION("""COMPUTED_VALUE"""),"Antígua e Barbuda")</f>
        <v>Antígua e Barbuda</v>
      </c>
      <c r="F5" s="14" t="str">
        <f ca="1">IFERROR(__xludf.DUMMYFUNCTION("""COMPUTED_VALUE"""),"Антыгуа і Барбуда")</f>
        <v>Антыгуа і Барбуда</v>
      </c>
      <c r="G5" s="14" t="str">
        <f ca="1">IFERROR(__xludf.DUMMYFUNCTION("""COMPUTED_VALUE"""),"Antigua a Barbuda")</f>
        <v>Antigua a Barbuda</v>
      </c>
      <c r="H5" s="14" t="str">
        <f ca="1">IFERROR(__xludf.DUMMYFUNCTION("""COMPUTED_VALUE"""),"Antigua und Barbuda")</f>
        <v>Antigua und Barbuda</v>
      </c>
      <c r="I5" s="14" t="str">
        <f ca="1">IFERROR(__xludf.DUMMYFUNCTION("""COMPUTED_VALUE"""),"Antigua y Barbuda")</f>
        <v>Antigua y Barbuda</v>
      </c>
      <c r="J5" s="14" t="str">
        <f ca="1">IFERROR(__xludf.DUMMYFUNCTION("""COMPUTED_VALUE"""),"Antigua ja Barbuda")</f>
        <v>Antigua ja Barbuda</v>
      </c>
      <c r="K5" s="14" t="str">
        <f ca="1">IFERROR(__xludf.DUMMYFUNCTION("""COMPUTED_VALUE"""),"Αντίγκουα και Μπαρμπούντα")</f>
        <v>Αντίγκουα και Μπαρμπούντα</v>
      </c>
      <c r="L5" s="14" t="str">
        <f ca="1">IFERROR(__xludf.DUMMYFUNCTION("""COMPUTED_VALUE"""),"ΑΝΤΙΓΚΟΥΑ ΚΑΙ ΜΠΑΡΜΠΟΥΝΤΑ")</f>
        <v>ΑΝΤΙΓΚΟΥΑ ΚΑΙ ΜΠΑΡΜΠΟΥΝΤΑ</v>
      </c>
      <c r="M5" s="14" t="str">
        <f ca="1">IFERROR(__xludf.DUMMYFUNCTION("""COMPUTED_VALUE"""),"Antigva i Barbuda")</f>
        <v>Antigva i Barbuda</v>
      </c>
      <c r="N5" s="14" t="str">
        <f ca="1">IFERROR(__xludf.DUMMYFUNCTION("""COMPUTED_VALUE"""),"Antigua és Barbuda")</f>
        <v>Antigua és Barbuda</v>
      </c>
      <c r="O5" s="14" t="str">
        <f ca="1">IFERROR(__xludf.DUMMYFUNCTION("""COMPUTED_VALUE"""),"Antigua dan Barbuda")</f>
        <v>Antigua dan Barbuda</v>
      </c>
      <c r="P5" s="14" t="str">
        <f ca="1">IFERROR(__xludf.DUMMYFUNCTION("""COMPUTED_VALUE"""),"Antigua e Barbuda")</f>
        <v>Antigua e Barbuda</v>
      </c>
      <c r="Q5" s="14" t="str">
        <f ca="1">IFERROR(__xludf.DUMMYFUNCTION("""COMPUTED_VALUE"""),"앤티가 바부다")</f>
        <v>앤티가 바부다</v>
      </c>
      <c r="R5" s="14" t="str">
        <f ca="1">IFERROR(__xludf.DUMMYFUNCTION("""COMPUTED_VALUE"""),"Antigua i Barbuda")</f>
        <v>Antigua i Barbuda</v>
      </c>
      <c r="S5" s="14" t="str">
        <f ca="1">IFERROR(__xludf.DUMMYFUNCTION("""COMPUTED_VALUE"""),"Antígua e Barbuda")</f>
        <v>Antígua e Barbuda</v>
      </c>
      <c r="T5" s="14" t="str">
        <f ca="1">IFERROR(__xludf.DUMMYFUNCTION("""COMPUTED_VALUE"""),"Antigua și Barbuda")</f>
        <v>Antigua și Barbuda</v>
      </c>
      <c r="U5" s="14" t="str">
        <f ca="1">IFERROR(__xludf.DUMMYFUNCTION("""COMPUTED_VALUE"""),"Antigva i Barbuda")</f>
        <v>Antigva i Barbuda</v>
      </c>
      <c r="V5" s="14" t="str">
        <f ca="1">IFERROR(__xludf.DUMMYFUNCTION("""COMPUTED_VALUE"""),"Антигуа и Барбуда")</f>
        <v>Антигуа и Барбуда</v>
      </c>
      <c r="W5" s="14" t="str">
        <f ca="1">IFERROR(__xludf.DUMMYFUNCTION("""COMPUTED_VALUE"""),"Antigua och Barbuda")</f>
        <v>Antigua och Barbuda</v>
      </c>
      <c r="X5" s="14" t="str">
        <f ca="1">IFERROR(__xludf.DUMMYFUNCTION("""COMPUTED_VALUE"""),"Antigva in Barbuda")</f>
        <v>Antigva in Barbuda</v>
      </c>
      <c r="Y5" s="14" t="str">
        <f ca="1">IFERROR(__xludf.DUMMYFUNCTION("""COMPUTED_VALUE"""),"Antigua a Barbuda")</f>
        <v>Antigua a Barbuda</v>
      </c>
      <c r="Z5" s="14" t="str">
        <f ca="1">IFERROR(__xludf.DUMMYFUNCTION("""COMPUTED_VALUE"""),"แอนติกาและบาร์บูดา")</f>
        <v>แอนติกาและบาร์บูดา</v>
      </c>
      <c r="AA5" s="14" t="str">
        <f ca="1">IFERROR(__xludf.DUMMYFUNCTION("""COMPUTED_VALUE"""),"Antigua ve Barbuda")</f>
        <v>Antigua ve Barbuda</v>
      </c>
      <c r="AB5" s="14" t="str">
        <f ca="1">IFERROR(__xludf.DUMMYFUNCTION("""COMPUTED_VALUE"""),"ANTİGUA VE BARBUDA")</f>
        <v>ANTİGUA VE BARBUDA</v>
      </c>
      <c r="AC5" s="14" t="str">
        <f ca="1">IFERROR(__xludf.DUMMYFUNCTION("""COMPUTED_VALUE"""),"Антигуа і Барбуда")</f>
        <v>Антигуа і Барбуда</v>
      </c>
      <c r="AD5" s="14" t="str">
        <f ca="1">IFERROR(__xludf.DUMMYFUNCTION("""COMPUTED_VALUE"""),"Antigua và Barbuda")</f>
        <v>Antigua và Barbuda</v>
      </c>
      <c r="AE5" s="14" t="str">
        <f ca="1">IFERROR(__xludf.DUMMYFUNCTION("""COMPUTED_VALUE"""),"Антигуа және Барбуда")</f>
        <v>Антигуа және Барбуда</v>
      </c>
      <c r="AF5" s="14"/>
    </row>
    <row r="6" spans="1:32" ht="15.75" customHeight="1" x14ac:dyDescent="0.15">
      <c r="A6" s="14" t="str">
        <f ca="1">IFERROR(__xludf.DUMMYFUNCTION("""COMPUTED_VALUE"""),"AI")</f>
        <v>AI</v>
      </c>
      <c r="B6" s="14" t="str">
        <f ca="1">IFERROR(__xludf.DUMMYFUNCTION("""COMPUTED_VALUE"""),"Anguilla")</f>
        <v>Anguilla</v>
      </c>
      <c r="C6" s="14" t="str">
        <f ca="1">IFERROR(__xludf.DUMMYFUNCTION("""COMPUTED_VALUE"""),"أنجويلا")</f>
        <v>أنجويلا</v>
      </c>
      <c r="D6" s="14" t="str">
        <f ca="1">IFERROR(__xludf.DUMMYFUNCTION("""COMPUTED_VALUE"""),"Ангила")</f>
        <v>Ангила</v>
      </c>
      <c r="E6" s="14" t="str">
        <f ca="1">IFERROR(__xludf.DUMMYFUNCTION("""COMPUTED_VALUE"""),"Anguilla")</f>
        <v>Anguilla</v>
      </c>
      <c r="F6" s="14" t="str">
        <f ca="1">IFERROR(__xludf.DUMMYFUNCTION("""COMPUTED_VALUE"""),"Ангілья")</f>
        <v>Ангілья</v>
      </c>
      <c r="G6" s="14" t="str">
        <f ca="1">IFERROR(__xludf.DUMMYFUNCTION("""COMPUTED_VALUE"""),"Anguilla")</f>
        <v>Anguilla</v>
      </c>
      <c r="H6" s="14" t="str">
        <f ca="1">IFERROR(__xludf.DUMMYFUNCTION("""COMPUTED_VALUE"""),"Anguilla")</f>
        <v>Anguilla</v>
      </c>
      <c r="I6" s="14" t="str">
        <f ca="1">IFERROR(__xludf.DUMMYFUNCTION("""COMPUTED_VALUE"""),"Anguila")</f>
        <v>Anguila</v>
      </c>
      <c r="J6" s="14" t="str">
        <f ca="1">IFERROR(__xludf.DUMMYFUNCTION("""COMPUTED_VALUE"""),"Anguilla")</f>
        <v>Anguilla</v>
      </c>
      <c r="K6" s="14" t="str">
        <f ca="1">IFERROR(__xludf.DUMMYFUNCTION("""COMPUTED_VALUE"""),"Ανγκουίλα")</f>
        <v>Ανγκουίλα</v>
      </c>
      <c r="L6" s="14" t="str">
        <f ca="1">IFERROR(__xludf.DUMMYFUNCTION("""COMPUTED_VALUE"""),"ΑΝΓΚΟΥΙΛΑ")</f>
        <v>ΑΝΓΚΟΥΙΛΑ</v>
      </c>
      <c r="M6" s="14" t="str">
        <f ca="1">IFERROR(__xludf.DUMMYFUNCTION("""COMPUTED_VALUE"""),"Anguilla")</f>
        <v>Anguilla</v>
      </c>
      <c r="N6" s="14" t="str">
        <f ca="1">IFERROR(__xludf.DUMMYFUNCTION("""COMPUTED_VALUE"""),"Anguilla")</f>
        <v>Anguilla</v>
      </c>
      <c r="O6" s="14" t="str">
        <f ca="1">IFERROR(__xludf.DUMMYFUNCTION("""COMPUTED_VALUE"""),"Anguilla")</f>
        <v>Anguilla</v>
      </c>
      <c r="P6" s="14" t="str">
        <f ca="1">IFERROR(__xludf.DUMMYFUNCTION("""COMPUTED_VALUE"""),"Anguilla")</f>
        <v>Anguilla</v>
      </c>
      <c r="Q6" s="14" t="str">
        <f ca="1">IFERROR(__xludf.DUMMYFUNCTION("""COMPUTED_VALUE"""),"앵귈라")</f>
        <v>앵귈라</v>
      </c>
      <c r="R6" s="14" t="str">
        <f ca="1">IFERROR(__xludf.DUMMYFUNCTION("""COMPUTED_VALUE"""),"Anguilla")</f>
        <v>Anguilla</v>
      </c>
      <c r="S6" s="14" t="str">
        <f ca="1">IFERROR(__xludf.DUMMYFUNCTION("""COMPUTED_VALUE"""),"Anguilla")</f>
        <v>Anguilla</v>
      </c>
      <c r="T6" s="14" t="str">
        <f ca="1">IFERROR(__xludf.DUMMYFUNCTION("""COMPUTED_VALUE"""),"Anguilla")</f>
        <v>Anguilla</v>
      </c>
      <c r="U6" s="14" t="str">
        <f ca="1">IFERROR(__xludf.DUMMYFUNCTION("""COMPUTED_VALUE"""),"Angvila")</f>
        <v>Angvila</v>
      </c>
      <c r="V6" s="14" t="str">
        <f ca="1">IFERROR(__xludf.DUMMYFUNCTION("""COMPUTED_VALUE"""),"Ангилья")</f>
        <v>Ангилья</v>
      </c>
      <c r="W6" s="14" t="str">
        <f ca="1">IFERROR(__xludf.DUMMYFUNCTION("""COMPUTED_VALUE"""),"Anguilla")</f>
        <v>Anguilla</v>
      </c>
      <c r="X6" s="14" t="str">
        <f ca="1">IFERROR(__xludf.DUMMYFUNCTION("""COMPUTED_VALUE"""),"Angvila")</f>
        <v>Angvila</v>
      </c>
      <c r="Y6" s="14" t="str">
        <f ca="1">IFERROR(__xludf.DUMMYFUNCTION("""COMPUTED_VALUE"""),"Anguilla")</f>
        <v>Anguilla</v>
      </c>
      <c r="Z6" s="14" t="str">
        <f ca="1">IFERROR(__xludf.DUMMYFUNCTION("""COMPUTED_VALUE"""),"แองกวิลลา")</f>
        <v>แองกวิลลา</v>
      </c>
      <c r="AA6" s="14" t="str">
        <f ca="1">IFERROR(__xludf.DUMMYFUNCTION("""COMPUTED_VALUE"""),"Anguilla")</f>
        <v>Anguilla</v>
      </c>
      <c r="AB6" s="14" t="str">
        <f ca="1">IFERROR(__xludf.DUMMYFUNCTION("""COMPUTED_VALUE"""),"ANGUİLLA")</f>
        <v>ANGUİLLA</v>
      </c>
      <c r="AC6" s="14" t="str">
        <f ca="1">IFERROR(__xludf.DUMMYFUNCTION("""COMPUTED_VALUE"""),"Ангілья")</f>
        <v>Ангілья</v>
      </c>
      <c r="AD6" s="14" t="str">
        <f ca="1">IFERROR(__xludf.DUMMYFUNCTION("""COMPUTED_VALUE"""),"Anguilla")</f>
        <v>Anguilla</v>
      </c>
      <c r="AE6" s="14" t="str">
        <f ca="1">IFERROR(__xludf.DUMMYFUNCTION("""COMPUTED_VALUE"""),"Ангилья")</f>
        <v>Ангилья</v>
      </c>
      <c r="AF6" s="14"/>
    </row>
    <row r="7" spans="1:32" ht="15.75" customHeight="1" x14ac:dyDescent="0.15">
      <c r="A7" s="14" t="str">
        <f ca="1">IFERROR(__xludf.DUMMYFUNCTION("""COMPUTED_VALUE"""),"AL")</f>
        <v>AL</v>
      </c>
      <c r="B7" s="14" t="str">
        <f ca="1">IFERROR(__xludf.DUMMYFUNCTION("""COMPUTED_VALUE"""),"Albania")</f>
        <v>Albania</v>
      </c>
      <c r="C7" s="14" t="str">
        <f ca="1">IFERROR(__xludf.DUMMYFUNCTION("""COMPUTED_VALUE"""),"ألبانيا")</f>
        <v>ألبانيا</v>
      </c>
      <c r="D7" s="14" t="str">
        <f ca="1">IFERROR(__xludf.DUMMYFUNCTION("""COMPUTED_VALUE"""),"Албания")</f>
        <v>Албания</v>
      </c>
      <c r="E7" s="14" t="str">
        <f ca="1">IFERROR(__xludf.DUMMYFUNCTION("""COMPUTED_VALUE"""),"Albânia")</f>
        <v>Albânia</v>
      </c>
      <c r="F7" s="14" t="str">
        <f ca="1">IFERROR(__xludf.DUMMYFUNCTION("""COMPUTED_VALUE"""),"Албанія")</f>
        <v>Албанія</v>
      </c>
      <c r="G7" s="14" t="str">
        <f ca="1">IFERROR(__xludf.DUMMYFUNCTION("""COMPUTED_VALUE"""),"Albánie")</f>
        <v>Albánie</v>
      </c>
      <c r="H7" s="14" t="str">
        <f ca="1">IFERROR(__xludf.DUMMYFUNCTION("""COMPUTED_VALUE"""),"Albanien")</f>
        <v>Albanien</v>
      </c>
      <c r="I7" s="14" t="str">
        <f ca="1">IFERROR(__xludf.DUMMYFUNCTION("""COMPUTED_VALUE"""),"Albania")</f>
        <v>Albania</v>
      </c>
      <c r="J7" s="14" t="str">
        <f ca="1">IFERROR(__xludf.DUMMYFUNCTION("""COMPUTED_VALUE"""),"Albania")</f>
        <v>Albania</v>
      </c>
      <c r="K7" s="14" t="str">
        <f ca="1">IFERROR(__xludf.DUMMYFUNCTION("""COMPUTED_VALUE"""),"Αλβανία")</f>
        <v>Αλβανία</v>
      </c>
      <c r="L7" s="14" t="str">
        <f ca="1">IFERROR(__xludf.DUMMYFUNCTION("""COMPUTED_VALUE"""),"ΑΛΒΑΝΙΑ")</f>
        <v>ΑΛΒΑΝΙΑ</v>
      </c>
      <c r="M7" s="14" t="str">
        <f ca="1">IFERROR(__xludf.DUMMYFUNCTION("""COMPUTED_VALUE"""),"Albanija")</f>
        <v>Albanija</v>
      </c>
      <c r="N7" s="14" t="str">
        <f ca="1">IFERROR(__xludf.DUMMYFUNCTION("""COMPUTED_VALUE"""),"Albánia")</f>
        <v>Albánia</v>
      </c>
      <c r="O7" s="14" t="str">
        <f ca="1">IFERROR(__xludf.DUMMYFUNCTION("""COMPUTED_VALUE"""),"Albania")</f>
        <v>Albania</v>
      </c>
      <c r="P7" s="14" t="str">
        <f ca="1">IFERROR(__xludf.DUMMYFUNCTION("""COMPUTED_VALUE"""),"Albania")</f>
        <v>Albania</v>
      </c>
      <c r="Q7" s="14" t="str">
        <f ca="1">IFERROR(__xludf.DUMMYFUNCTION("""COMPUTED_VALUE"""),"알바니아")</f>
        <v>알바니아</v>
      </c>
      <c r="R7" s="14" t="str">
        <f ca="1">IFERROR(__xludf.DUMMYFUNCTION("""COMPUTED_VALUE"""),"Albania")</f>
        <v>Albania</v>
      </c>
      <c r="S7" s="14" t="str">
        <f ca="1">IFERROR(__xludf.DUMMYFUNCTION("""COMPUTED_VALUE"""),"Albânia")</f>
        <v>Albânia</v>
      </c>
      <c r="T7" s="14" t="str">
        <f ca="1">IFERROR(__xludf.DUMMYFUNCTION("""COMPUTED_VALUE"""),"Albania")</f>
        <v>Albania</v>
      </c>
      <c r="U7" s="14" t="str">
        <f ca="1">IFERROR(__xludf.DUMMYFUNCTION("""COMPUTED_VALUE"""),"Albanija")</f>
        <v>Albanija</v>
      </c>
      <c r="V7" s="14" t="str">
        <f ca="1">IFERROR(__xludf.DUMMYFUNCTION("""COMPUTED_VALUE"""),"Албания")</f>
        <v>Албания</v>
      </c>
      <c r="W7" s="14" t="str">
        <f ca="1">IFERROR(__xludf.DUMMYFUNCTION("""COMPUTED_VALUE"""),"Albanien")</f>
        <v>Albanien</v>
      </c>
      <c r="X7" s="14" t="str">
        <f ca="1">IFERROR(__xludf.DUMMYFUNCTION("""COMPUTED_VALUE"""),"Albanija")</f>
        <v>Albanija</v>
      </c>
      <c r="Y7" s="14" t="str">
        <f ca="1">IFERROR(__xludf.DUMMYFUNCTION("""COMPUTED_VALUE"""),"Albánsko")</f>
        <v>Albánsko</v>
      </c>
      <c r="Z7" s="14" t="str">
        <f ca="1">IFERROR(__xludf.DUMMYFUNCTION("""COMPUTED_VALUE"""),"แอลเบเนีย")</f>
        <v>แอลเบเนีย</v>
      </c>
      <c r="AA7" s="14" t="str">
        <f ca="1">IFERROR(__xludf.DUMMYFUNCTION("""COMPUTED_VALUE"""),"Arnavutluk")</f>
        <v>Arnavutluk</v>
      </c>
      <c r="AB7" s="14" t="str">
        <f ca="1">IFERROR(__xludf.DUMMYFUNCTION("""COMPUTED_VALUE"""),"ARNAVUTLUK")</f>
        <v>ARNAVUTLUK</v>
      </c>
      <c r="AC7" s="14" t="str">
        <f ca="1">IFERROR(__xludf.DUMMYFUNCTION("""COMPUTED_VALUE"""),"Албанія")</f>
        <v>Албанія</v>
      </c>
      <c r="AD7" s="14" t="str">
        <f ca="1">IFERROR(__xludf.DUMMYFUNCTION("""COMPUTED_VALUE"""),"Albania")</f>
        <v>Albania</v>
      </c>
      <c r="AE7" s="14" t="str">
        <f ca="1">IFERROR(__xludf.DUMMYFUNCTION("""COMPUTED_VALUE"""),"Албания")</f>
        <v>Албания</v>
      </c>
      <c r="AF7" s="14"/>
    </row>
    <row r="8" spans="1:32" ht="15.75" customHeight="1" x14ac:dyDescent="0.15">
      <c r="A8" s="14" t="str">
        <f ca="1">IFERROR(__xludf.DUMMYFUNCTION("""COMPUTED_VALUE"""),"AM")</f>
        <v>AM</v>
      </c>
      <c r="B8" s="14" t="str">
        <f ca="1">IFERROR(__xludf.DUMMYFUNCTION("""COMPUTED_VALUE"""),"Armenia")</f>
        <v>Armenia</v>
      </c>
      <c r="C8" s="14" t="str">
        <f ca="1">IFERROR(__xludf.DUMMYFUNCTION("""COMPUTED_VALUE"""),"أرمينيا")</f>
        <v>أرمينيا</v>
      </c>
      <c r="D8" s="14" t="str">
        <f ca="1">IFERROR(__xludf.DUMMYFUNCTION("""COMPUTED_VALUE"""),"Армения")</f>
        <v>Армения</v>
      </c>
      <c r="E8" s="14" t="str">
        <f ca="1">IFERROR(__xludf.DUMMYFUNCTION("""COMPUTED_VALUE"""),"Armênia")</f>
        <v>Armênia</v>
      </c>
      <c r="F8" s="14" t="str">
        <f ca="1">IFERROR(__xludf.DUMMYFUNCTION("""COMPUTED_VALUE"""),"Арменія")</f>
        <v>Арменія</v>
      </c>
      <c r="G8" s="14" t="str">
        <f ca="1">IFERROR(__xludf.DUMMYFUNCTION("""COMPUTED_VALUE"""),"Arménie")</f>
        <v>Arménie</v>
      </c>
      <c r="H8" s="14" t="str">
        <f ca="1">IFERROR(__xludf.DUMMYFUNCTION("""COMPUTED_VALUE"""),"Armenien")</f>
        <v>Armenien</v>
      </c>
      <c r="I8" s="14" t="str">
        <f ca="1">IFERROR(__xludf.DUMMYFUNCTION("""COMPUTED_VALUE"""),"Armenia")</f>
        <v>Armenia</v>
      </c>
      <c r="J8" s="14" t="str">
        <f ca="1">IFERROR(__xludf.DUMMYFUNCTION("""COMPUTED_VALUE"""),"Armenia")</f>
        <v>Armenia</v>
      </c>
      <c r="K8" s="14" t="str">
        <f ca="1">IFERROR(__xludf.DUMMYFUNCTION("""COMPUTED_VALUE"""),"Αρμενία")</f>
        <v>Αρμενία</v>
      </c>
      <c r="L8" s="14" t="str">
        <f ca="1">IFERROR(__xludf.DUMMYFUNCTION("""COMPUTED_VALUE"""),"ΑΡΜΕΝΙΑ")</f>
        <v>ΑΡΜΕΝΙΑ</v>
      </c>
      <c r="M8" s="14" t="str">
        <f ca="1">IFERROR(__xludf.DUMMYFUNCTION("""COMPUTED_VALUE"""),"Armenija")</f>
        <v>Armenija</v>
      </c>
      <c r="N8" s="14" t="str">
        <f ca="1">IFERROR(__xludf.DUMMYFUNCTION("""COMPUTED_VALUE"""),"Örményország")</f>
        <v>Örményország</v>
      </c>
      <c r="O8" s="14" t="str">
        <f ca="1">IFERROR(__xludf.DUMMYFUNCTION("""COMPUTED_VALUE"""),"Armenia")</f>
        <v>Armenia</v>
      </c>
      <c r="P8" s="14" t="str">
        <f ca="1">IFERROR(__xludf.DUMMYFUNCTION("""COMPUTED_VALUE"""),"Armenia")</f>
        <v>Armenia</v>
      </c>
      <c r="Q8" s="14" t="str">
        <f ca="1">IFERROR(__xludf.DUMMYFUNCTION("""COMPUTED_VALUE"""),"아르메니아")</f>
        <v>아르메니아</v>
      </c>
      <c r="R8" s="14" t="str">
        <f ca="1">IFERROR(__xludf.DUMMYFUNCTION("""COMPUTED_VALUE"""),"Armenia")</f>
        <v>Armenia</v>
      </c>
      <c r="S8" s="14" t="str">
        <f ca="1">IFERROR(__xludf.DUMMYFUNCTION("""COMPUTED_VALUE"""),"Armênia")</f>
        <v>Armênia</v>
      </c>
      <c r="T8" s="14" t="str">
        <f ca="1">IFERROR(__xludf.DUMMYFUNCTION("""COMPUTED_VALUE"""),"Armenia")</f>
        <v>Armenia</v>
      </c>
      <c r="U8" s="14" t="str">
        <f ca="1">IFERROR(__xludf.DUMMYFUNCTION("""COMPUTED_VALUE"""),"Jermenija")</f>
        <v>Jermenija</v>
      </c>
      <c r="V8" s="14" t="str">
        <f ca="1">IFERROR(__xludf.DUMMYFUNCTION("""COMPUTED_VALUE"""),"Армения")</f>
        <v>Армения</v>
      </c>
      <c r="W8" s="14" t="str">
        <f ca="1">IFERROR(__xludf.DUMMYFUNCTION("""COMPUTED_VALUE"""),"Armenien")</f>
        <v>Armenien</v>
      </c>
      <c r="X8" s="14" t="str">
        <f ca="1">IFERROR(__xludf.DUMMYFUNCTION("""COMPUTED_VALUE"""),"Armenija")</f>
        <v>Armenija</v>
      </c>
      <c r="Y8" s="14" t="str">
        <f ca="1">IFERROR(__xludf.DUMMYFUNCTION("""COMPUTED_VALUE"""),"Arménsko")</f>
        <v>Arménsko</v>
      </c>
      <c r="Z8" s="14" t="str">
        <f ca="1">IFERROR(__xludf.DUMMYFUNCTION("""COMPUTED_VALUE"""),"อาร์มีเนีย")</f>
        <v>อาร์มีเนีย</v>
      </c>
      <c r="AA8" s="14" t="str">
        <f ca="1">IFERROR(__xludf.DUMMYFUNCTION("""COMPUTED_VALUE"""),"Ermenistan")</f>
        <v>Ermenistan</v>
      </c>
      <c r="AB8" s="14" t="str">
        <f ca="1">IFERROR(__xludf.DUMMYFUNCTION("""COMPUTED_VALUE"""),"ERMENİSTAN")</f>
        <v>ERMENİSTAN</v>
      </c>
      <c r="AC8" s="14" t="str">
        <f ca="1">IFERROR(__xludf.DUMMYFUNCTION("""COMPUTED_VALUE"""),"Вірменія")</f>
        <v>Вірменія</v>
      </c>
      <c r="AD8" s="14" t="str">
        <f ca="1">IFERROR(__xludf.DUMMYFUNCTION("""COMPUTED_VALUE"""),"Armenia")</f>
        <v>Armenia</v>
      </c>
      <c r="AE8" s="14" t="str">
        <f ca="1">IFERROR(__xludf.DUMMYFUNCTION("""COMPUTED_VALUE"""),"Армения")</f>
        <v>Армения</v>
      </c>
      <c r="AF8" s="14"/>
    </row>
    <row r="9" spans="1:32" ht="15.75" customHeight="1" x14ac:dyDescent="0.15">
      <c r="A9" s="14" t="str">
        <f ca="1">IFERROR(__xludf.DUMMYFUNCTION("""COMPUTED_VALUE"""),"AN")</f>
        <v>AN</v>
      </c>
      <c r="B9" s="14"/>
      <c r="C9" s="14" t="str">
        <f ca="1">IFERROR(__xludf.DUMMYFUNCTION("""COMPUTED_VALUE"""),"جزر الأنتيل الهولندية")</f>
        <v>جزر الأنتيل الهولندية</v>
      </c>
      <c r="D9" s="14" t="str">
        <f ca="1">IFERROR(__xludf.DUMMYFUNCTION("""COMPUTED_VALUE"""),"Нидерландски Антили")</f>
        <v>Нидерландски Антили</v>
      </c>
      <c r="E9" s="14"/>
      <c r="F9" s="14" t="str">
        <f ca="1">IFERROR(__xludf.DUMMYFUNCTION("""COMPUTED_VALUE"""),"Антыгуа і Барбуда")</f>
        <v>Антыгуа і Барбуда</v>
      </c>
      <c r="G9" s="14"/>
      <c r="H9" s="14" t="str">
        <f ca="1">IFERROR(__xludf.DUMMYFUNCTION("""COMPUTED_VALUE"""),"Niederländische Antillen (historisch)")</f>
        <v>Niederländische Antillen (historisch)</v>
      </c>
      <c r="I9" s="14"/>
      <c r="J9" s="14" t="str">
        <f ca="1">IFERROR(__xludf.DUMMYFUNCTION("""COMPUTED_VALUE"""),"Alankomaiden Antillit")</f>
        <v>Alankomaiden Antillit</v>
      </c>
      <c r="K9" s="14" t="str">
        <f ca="1">IFERROR(__xludf.DUMMYFUNCTION("""COMPUTED_VALUE"""),"Ολλανδικές Αντίλλες")</f>
        <v>Ολλανδικές Αντίλλες</v>
      </c>
      <c r="L9" s="14" t="str">
        <f ca="1">IFERROR(__xludf.DUMMYFUNCTION("""COMPUTED_VALUE"""),"ΟΛΛΑΝΔΙΚΕΣ ΑΝΤΙΛΛΕΣ")</f>
        <v>ΟΛΛΑΝΔΙΚΕΣ ΑΝΤΙΛΛΕΣ</v>
      </c>
      <c r="M9" s="14" t="str">
        <f ca="1">IFERROR(__xludf.DUMMYFUNCTION("""COMPUTED_VALUE"""),"Nizozemski Antili")</f>
        <v>Nizozemski Antili</v>
      </c>
      <c r="N9" s="14"/>
      <c r="O9" s="14" t="str">
        <f ca="1">IFERROR(__xludf.DUMMYFUNCTION("""COMPUTED_VALUE"""),"Antillen Belanda")</f>
        <v>Antillen Belanda</v>
      </c>
      <c r="P9" s="14"/>
      <c r="Q9" s="14" t="str">
        <f ca="1">IFERROR(__xludf.DUMMYFUNCTION("""COMPUTED_VALUE"""),"네덜란드령 안틸레스")</f>
        <v>네덜란드령 안틸레스</v>
      </c>
      <c r="R9" s="14"/>
      <c r="S9" s="14"/>
      <c r="T9" s="14" t="str">
        <f ca="1">IFERROR(__xludf.DUMMYFUNCTION("""COMPUTED_VALUE"""),"Antilele Olandeze")</f>
        <v>Antilele Olandeze</v>
      </c>
      <c r="U9" s="14" t="str">
        <f ca="1">IFERROR(__xludf.DUMMYFUNCTION("""COMPUTED_VALUE"""),"Holandski Antili")</f>
        <v>Holandski Antili</v>
      </c>
      <c r="V9" s="14"/>
      <c r="W9" s="14" t="str">
        <f ca="1">IFERROR(__xludf.DUMMYFUNCTION("""COMPUTED_VALUE"""),"Nederländska Antillerna")</f>
        <v>Nederländska Antillerna</v>
      </c>
      <c r="X9" s="14" t="str">
        <f ca="1">IFERROR(__xludf.DUMMYFUNCTION("""COMPUTED_VALUE"""),"Nizozemski Antili")</f>
        <v>Nizozemski Antili</v>
      </c>
      <c r="Y9" s="14" t="str">
        <f ca="1">IFERROR(__xludf.DUMMYFUNCTION("""COMPUTED_VALUE"""),"Holandské Antily")</f>
        <v>Holandské Antily</v>
      </c>
      <c r="Z9" s="14" t="str">
        <f ca="1">IFERROR(__xludf.DUMMYFUNCTION("""COMPUTED_VALUE"""),"เนเธอร์แลนด์แอนทิลลีส")</f>
        <v>เนเธอร์แลนด์แอนทิลลีส</v>
      </c>
      <c r="AA9" s="14"/>
      <c r="AB9" s="14"/>
      <c r="AC9" s="14" t="str">
        <f ca="1">IFERROR(__xludf.DUMMYFUNCTION("""COMPUTED_VALUE"""),"Нідерландські Антильські острови")</f>
        <v>Нідерландські Антильські острови</v>
      </c>
      <c r="AD9" s="14" t="str">
        <f ca="1">IFERROR(__xludf.DUMMYFUNCTION("""COMPUTED_VALUE"""),"Antille thuộc Hà Lan")</f>
        <v>Antille thuộc Hà Lan</v>
      </c>
      <c r="AE9" s="14" t="str">
        <f ca="1">IFERROR(__xludf.DUMMYFUNCTION("""COMPUTED_VALUE"""),"Нидерланд Антиль аралдары")</f>
        <v>Нидерланд Антиль аралдары</v>
      </c>
      <c r="AF9" s="14"/>
    </row>
    <row r="10" spans="1:32" ht="15.75" customHeight="1" x14ac:dyDescent="0.15">
      <c r="A10" s="14" t="str">
        <f ca="1">IFERROR(__xludf.DUMMYFUNCTION("""COMPUTED_VALUE"""),"AO")</f>
        <v>AO</v>
      </c>
      <c r="B10" s="14" t="str">
        <f ca="1">IFERROR(__xludf.DUMMYFUNCTION("""COMPUTED_VALUE"""),"Angola")</f>
        <v>Angola</v>
      </c>
      <c r="C10" s="14" t="str">
        <f ca="1">IFERROR(__xludf.DUMMYFUNCTION("""COMPUTED_VALUE"""),"أنجولا")</f>
        <v>أنجولا</v>
      </c>
      <c r="D10" s="14" t="str">
        <f ca="1">IFERROR(__xludf.DUMMYFUNCTION("""COMPUTED_VALUE"""),"Ангола")</f>
        <v>Ангола</v>
      </c>
      <c r="E10" s="14" t="str">
        <f ca="1">IFERROR(__xludf.DUMMYFUNCTION("""COMPUTED_VALUE"""),"Angola")</f>
        <v>Angola</v>
      </c>
      <c r="F10" s="14" t="str">
        <f ca="1">IFERROR(__xludf.DUMMYFUNCTION("""COMPUTED_VALUE"""),"Ангола")</f>
        <v>Ангола</v>
      </c>
      <c r="G10" s="14" t="str">
        <f ca="1">IFERROR(__xludf.DUMMYFUNCTION("""COMPUTED_VALUE"""),"Angola")</f>
        <v>Angola</v>
      </c>
      <c r="H10" s="14" t="str">
        <f ca="1">IFERROR(__xludf.DUMMYFUNCTION("""COMPUTED_VALUE"""),"Angola")</f>
        <v>Angola</v>
      </c>
      <c r="I10" s="14" t="str">
        <f ca="1">IFERROR(__xludf.DUMMYFUNCTION("""COMPUTED_VALUE"""),"Angola")</f>
        <v>Angola</v>
      </c>
      <c r="J10" s="14" t="str">
        <f ca="1">IFERROR(__xludf.DUMMYFUNCTION("""COMPUTED_VALUE"""),"Angola")</f>
        <v>Angola</v>
      </c>
      <c r="K10" s="14" t="str">
        <f ca="1">IFERROR(__xludf.DUMMYFUNCTION("""COMPUTED_VALUE"""),"Ανγκόλα")</f>
        <v>Ανγκόλα</v>
      </c>
      <c r="L10" s="14" t="str">
        <f ca="1">IFERROR(__xludf.DUMMYFUNCTION("""COMPUTED_VALUE"""),"ΑΝΓΚΟΛΑ")</f>
        <v>ΑΝΓΚΟΛΑ</v>
      </c>
      <c r="M10" s="14" t="str">
        <f ca="1">IFERROR(__xludf.DUMMYFUNCTION("""COMPUTED_VALUE"""),"Angola")</f>
        <v>Angola</v>
      </c>
      <c r="N10" s="14" t="str">
        <f ca="1">IFERROR(__xludf.DUMMYFUNCTION("""COMPUTED_VALUE"""),"Angola")</f>
        <v>Angola</v>
      </c>
      <c r="O10" s="14" t="str">
        <f ca="1">IFERROR(__xludf.DUMMYFUNCTION("""COMPUTED_VALUE"""),"Angola")</f>
        <v>Angola</v>
      </c>
      <c r="P10" s="14" t="str">
        <f ca="1">IFERROR(__xludf.DUMMYFUNCTION("""COMPUTED_VALUE"""),"Angola")</f>
        <v>Angola</v>
      </c>
      <c r="Q10" s="14" t="str">
        <f ca="1">IFERROR(__xludf.DUMMYFUNCTION("""COMPUTED_VALUE"""),"앙골라")</f>
        <v>앙골라</v>
      </c>
      <c r="R10" s="14" t="str">
        <f ca="1">IFERROR(__xludf.DUMMYFUNCTION("""COMPUTED_VALUE"""),"Angola")</f>
        <v>Angola</v>
      </c>
      <c r="S10" s="14" t="str">
        <f ca="1">IFERROR(__xludf.DUMMYFUNCTION("""COMPUTED_VALUE"""),"Angola")</f>
        <v>Angola</v>
      </c>
      <c r="T10" s="14" t="str">
        <f ca="1">IFERROR(__xludf.DUMMYFUNCTION("""COMPUTED_VALUE"""),"Angola")</f>
        <v>Angola</v>
      </c>
      <c r="U10" s="14" t="str">
        <f ca="1">IFERROR(__xludf.DUMMYFUNCTION("""COMPUTED_VALUE"""),"Angola")</f>
        <v>Angola</v>
      </c>
      <c r="V10" s="14" t="str">
        <f ca="1">IFERROR(__xludf.DUMMYFUNCTION("""COMPUTED_VALUE"""),"Ангола")</f>
        <v>Ангола</v>
      </c>
      <c r="W10" s="14" t="str">
        <f ca="1">IFERROR(__xludf.DUMMYFUNCTION("""COMPUTED_VALUE"""),"Angola")</f>
        <v>Angola</v>
      </c>
      <c r="X10" s="14" t="str">
        <f ca="1">IFERROR(__xludf.DUMMYFUNCTION("""COMPUTED_VALUE"""),"Angola")</f>
        <v>Angola</v>
      </c>
      <c r="Y10" s="14" t="str">
        <f ca="1">IFERROR(__xludf.DUMMYFUNCTION("""COMPUTED_VALUE"""),"Angola")</f>
        <v>Angola</v>
      </c>
      <c r="Z10" s="14" t="str">
        <f ca="1">IFERROR(__xludf.DUMMYFUNCTION("""COMPUTED_VALUE"""),"แองโกลา")</f>
        <v>แองโกลา</v>
      </c>
      <c r="AA10" s="14" t="str">
        <f ca="1">IFERROR(__xludf.DUMMYFUNCTION("""COMPUTED_VALUE"""),"Angora")</f>
        <v>Angora</v>
      </c>
      <c r="AB10" s="14" t="str">
        <f ca="1">IFERROR(__xludf.DUMMYFUNCTION("""COMPUTED_VALUE"""),"ANGORA")</f>
        <v>ANGORA</v>
      </c>
      <c r="AC10" s="14" t="str">
        <f ca="1">IFERROR(__xludf.DUMMYFUNCTION("""COMPUTED_VALUE"""),"Ангола")</f>
        <v>Ангола</v>
      </c>
      <c r="AD10" s="14" t="str">
        <f ca="1">IFERROR(__xludf.DUMMYFUNCTION("""COMPUTED_VALUE"""),"Angola")</f>
        <v>Angola</v>
      </c>
      <c r="AE10" s="14" t="str">
        <f ca="1">IFERROR(__xludf.DUMMYFUNCTION("""COMPUTED_VALUE"""),"Ангола")</f>
        <v>Ангола</v>
      </c>
      <c r="AF10" s="14"/>
    </row>
    <row r="11" spans="1:32" ht="15.75" customHeight="1" x14ac:dyDescent="0.15">
      <c r="A11" s="14" t="str">
        <f ca="1">IFERROR(__xludf.DUMMYFUNCTION("""COMPUTED_VALUE"""),"AQ")</f>
        <v>AQ</v>
      </c>
      <c r="B11" s="14" t="str">
        <f ca="1">IFERROR(__xludf.DUMMYFUNCTION("""COMPUTED_VALUE"""),"Antarctica")</f>
        <v>Antarctica</v>
      </c>
      <c r="C11" s="14" t="str">
        <f ca="1">IFERROR(__xludf.DUMMYFUNCTION("""COMPUTED_VALUE"""),"القطب الجنوبي")</f>
        <v>القطب الجنوبي</v>
      </c>
      <c r="D11" s="14" t="str">
        <f ca="1">IFERROR(__xludf.DUMMYFUNCTION("""COMPUTED_VALUE"""),"Антарктида")</f>
        <v>Антарктида</v>
      </c>
      <c r="E11" s="14" t="str">
        <f ca="1">IFERROR(__xludf.DUMMYFUNCTION("""COMPUTED_VALUE"""),"Antártida")</f>
        <v>Antártida</v>
      </c>
      <c r="F11" s="14" t="str">
        <f ca="1">IFERROR(__xludf.DUMMYFUNCTION("""COMPUTED_VALUE"""),"Антарктыда")</f>
        <v>Антарктыда</v>
      </c>
      <c r="G11" s="14" t="str">
        <f ca="1">IFERROR(__xludf.DUMMYFUNCTION("""COMPUTED_VALUE"""),"Antarktida")</f>
        <v>Antarktida</v>
      </c>
      <c r="H11" s="14" t="str">
        <f ca="1">IFERROR(__xludf.DUMMYFUNCTION("""COMPUTED_VALUE"""),"(Sonderstatus durch Antarktis-Vertrag)")</f>
        <v>(Sonderstatus durch Antarktis-Vertrag)</v>
      </c>
      <c r="I11" s="14" t="str">
        <f ca="1">IFERROR(__xludf.DUMMYFUNCTION("""COMPUTED_VALUE"""),"Antártida")</f>
        <v>Antártida</v>
      </c>
      <c r="J11" s="14" t="str">
        <f ca="1">IFERROR(__xludf.DUMMYFUNCTION("""COMPUTED_VALUE"""),"Antarktis")</f>
        <v>Antarktis</v>
      </c>
      <c r="K11" s="14" t="str">
        <f ca="1">IFERROR(__xludf.DUMMYFUNCTION("""COMPUTED_VALUE"""),"Ανταρκτική")</f>
        <v>Ανταρκτική</v>
      </c>
      <c r="L11" s="14" t="str">
        <f ca="1">IFERROR(__xludf.DUMMYFUNCTION("""COMPUTED_VALUE"""),"ΑΝΤΑΡΚΤΙΚΗ")</f>
        <v>ΑΝΤΑΡΚΤΙΚΗ</v>
      </c>
      <c r="M11" s="14" t="str">
        <f ca="1">IFERROR(__xludf.DUMMYFUNCTION("""COMPUTED_VALUE"""),"Antarktika")</f>
        <v>Antarktika</v>
      </c>
      <c r="N11" s="14" t="str">
        <f ca="1">IFERROR(__xludf.DUMMYFUNCTION("""COMPUTED_VALUE"""),"Antarktisz")</f>
        <v>Antarktisz</v>
      </c>
      <c r="O11" s="14" t="str">
        <f ca="1">IFERROR(__xludf.DUMMYFUNCTION("""COMPUTED_VALUE"""),"Antarktika")</f>
        <v>Antarktika</v>
      </c>
      <c r="P11" s="14" t="str">
        <f ca="1">IFERROR(__xludf.DUMMYFUNCTION("""COMPUTED_VALUE"""),"Antartide")</f>
        <v>Antartide</v>
      </c>
      <c r="Q11" s="14" t="str">
        <f ca="1">IFERROR(__xludf.DUMMYFUNCTION("""COMPUTED_VALUE"""),"남극")</f>
        <v>남극</v>
      </c>
      <c r="R11" s="14" t="str">
        <f ca="1">IFERROR(__xludf.DUMMYFUNCTION("""COMPUTED_VALUE"""),"Antarktyka")</f>
        <v>Antarktyka</v>
      </c>
      <c r="S11" s="14" t="str">
        <f ca="1">IFERROR(__xludf.DUMMYFUNCTION("""COMPUTED_VALUE"""),"Antártida")</f>
        <v>Antártida</v>
      </c>
      <c r="T11" s="14" t="str">
        <f ca="1">IFERROR(__xludf.DUMMYFUNCTION("""COMPUTED_VALUE"""),"Antarctica")</f>
        <v>Antarctica</v>
      </c>
      <c r="U11" s="14" t="str">
        <f ca="1">IFERROR(__xludf.DUMMYFUNCTION("""COMPUTED_VALUE"""),"Antarktik")</f>
        <v>Antarktik</v>
      </c>
      <c r="V11" s="14" t="str">
        <f ca="1">IFERROR(__xludf.DUMMYFUNCTION("""COMPUTED_VALUE"""),"Антарктида")</f>
        <v>Антарктида</v>
      </c>
      <c r="W11" s="14" t="str">
        <f ca="1">IFERROR(__xludf.DUMMYFUNCTION("""COMPUTED_VALUE"""),"Antarktis")</f>
        <v>Antarktis</v>
      </c>
      <c r="X11" s="14" t="str">
        <f ca="1">IFERROR(__xludf.DUMMYFUNCTION("""COMPUTED_VALUE"""),"Antarktika")</f>
        <v>Antarktika</v>
      </c>
      <c r="Y11" s="14" t="str">
        <f ca="1">IFERROR(__xludf.DUMMYFUNCTION("""COMPUTED_VALUE"""),"Antarktída")</f>
        <v>Antarktída</v>
      </c>
      <c r="Z11" s="14" t="str">
        <f ca="1">IFERROR(__xludf.DUMMYFUNCTION("""COMPUTED_VALUE"""),"แอนตาร์กติกา")</f>
        <v>แอนตาร์กติกา</v>
      </c>
      <c r="AA11" s="14" t="str">
        <f ca="1">IFERROR(__xludf.DUMMYFUNCTION("""COMPUTED_VALUE"""),"Antarktika")</f>
        <v>Antarktika</v>
      </c>
      <c r="AB11" s="14" t="str">
        <f ca="1">IFERROR(__xludf.DUMMYFUNCTION("""COMPUTED_VALUE"""),"ANTARKTİKA")</f>
        <v>ANTARKTİKA</v>
      </c>
      <c r="AC11" s="14" t="str">
        <f ca="1">IFERROR(__xludf.DUMMYFUNCTION("""COMPUTED_VALUE"""),"Антарктида")</f>
        <v>Антарктида</v>
      </c>
      <c r="AD11" s="14" t="str">
        <f ca="1">IFERROR(__xludf.DUMMYFUNCTION("""COMPUTED_VALUE"""),"Châu Nam Cực")</f>
        <v>Châu Nam Cực</v>
      </c>
      <c r="AE11" s="14" t="str">
        <f ca="1">IFERROR(__xludf.DUMMYFUNCTION("""COMPUTED_VALUE"""),"Антарктика")</f>
        <v>Антарктика</v>
      </c>
      <c r="AF11" s="14"/>
    </row>
    <row r="12" spans="1:32" ht="15.75" customHeight="1" x14ac:dyDescent="0.15">
      <c r="A12" s="14" t="str">
        <f ca="1">IFERROR(__xludf.DUMMYFUNCTION("""COMPUTED_VALUE"""),"AR")</f>
        <v>AR</v>
      </c>
      <c r="B12" s="14" t="str">
        <f ca="1">IFERROR(__xludf.DUMMYFUNCTION("""COMPUTED_VALUE"""),"Argentina")</f>
        <v>Argentina</v>
      </c>
      <c r="C12" s="14" t="str">
        <f ca="1">IFERROR(__xludf.DUMMYFUNCTION("""COMPUTED_VALUE"""),"الأرجنتين")</f>
        <v>الأرجنتين</v>
      </c>
      <c r="D12" s="14" t="str">
        <f ca="1">IFERROR(__xludf.DUMMYFUNCTION("""COMPUTED_VALUE"""),"Аржентина")</f>
        <v>Аржентина</v>
      </c>
      <c r="E12" s="14" t="str">
        <f ca="1">IFERROR(__xludf.DUMMYFUNCTION("""COMPUTED_VALUE"""),"Argentina")</f>
        <v>Argentina</v>
      </c>
      <c r="F12" s="14" t="str">
        <f ca="1">IFERROR(__xludf.DUMMYFUNCTION("""COMPUTED_VALUE"""),"Аргенціна")</f>
        <v>Аргенціна</v>
      </c>
      <c r="G12" s="14" t="str">
        <f ca="1">IFERROR(__xludf.DUMMYFUNCTION("""COMPUTED_VALUE"""),"Argentina")</f>
        <v>Argentina</v>
      </c>
      <c r="H12" s="14" t="str">
        <f ca="1">IFERROR(__xludf.DUMMYFUNCTION("""COMPUTED_VALUE"""),"Argentinien")</f>
        <v>Argentinien</v>
      </c>
      <c r="I12" s="14" t="str">
        <f ca="1">IFERROR(__xludf.DUMMYFUNCTION("""COMPUTED_VALUE"""),"Argentina")</f>
        <v>Argentina</v>
      </c>
      <c r="J12" s="14" t="str">
        <f ca="1">IFERROR(__xludf.DUMMYFUNCTION("""COMPUTED_VALUE"""),"Argentiina")</f>
        <v>Argentiina</v>
      </c>
      <c r="K12" s="14" t="str">
        <f ca="1">IFERROR(__xludf.DUMMYFUNCTION("""COMPUTED_VALUE"""),"Αργεντινή")</f>
        <v>Αργεντινή</v>
      </c>
      <c r="L12" s="14" t="str">
        <f ca="1">IFERROR(__xludf.DUMMYFUNCTION("""COMPUTED_VALUE"""),"ΑΡΓΕΝΤΙΝΗ")</f>
        <v>ΑΡΓΕΝΤΙΝΗ</v>
      </c>
      <c r="M12" s="14" t="str">
        <f ca="1">IFERROR(__xludf.DUMMYFUNCTION("""COMPUTED_VALUE"""),"Argentina")</f>
        <v>Argentina</v>
      </c>
      <c r="N12" s="14" t="str">
        <f ca="1">IFERROR(__xludf.DUMMYFUNCTION("""COMPUTED_VALUE"""),"Argentína")</f>
        <v>Argentína</v>
      </c>
      <c r="O12" s="14" t="str">
        <f ca="1">IFERROR(__xludf.DUMMYFUNCTION("""COMPUTED_VALUE"""),"Argentina")</f>
        <v>Argentina</v>
      </c>
      <c r="P12" s="14" t="str">
        <f ca="1">IFERROR(__xludf.DUMMYFUNCTION("""COMPUTED_VALUE"""),"Argentina")</f>
        <v>Argentina</v>
      </c>
      <c r="Q12" s="14" t="str">
        <f ca="1">IFERROR(__xludf.DUMMYFUNCTION("""COMPUTED_VALUE"""),"아르헨티나")</f>
        <v>아르헨티나</v>
      </c>
      <c r="R12" s="14" t="str">
        <f ca="1">IFERROR(__xludf.DUMMYFUNCTION("""COMPUTED_VALUE"""),"Argentyna")</f>
        <v>Argentyna</v>
      </c>
      <c r="S12" s="14" t="str">
        <f ca="1">IFERROR(__xludf.DUMMYFUNCTION("""COMPUTED_VALUE"""),"Argentina")</f>
        <v>Argentina</v>
      </c>
      <c r="T12" s="14" t="str">
        <f ca="1">IFERROR(__xludf.DUMMYFUNCTION("""COMPUTED_VALUE"""),"Argentina")</f>
        <v>Argentina</v>
      </c>
      <c r="U12" s="14" t="str">
        <f ca="1">IFERROR(__xludf.DUMMYFUNCTION("""COMPUTED_VALUE"""),"Argentina")</f>
        <v>Argentina</v>
      </c>
      <c r="V12" s="14" t="str">
        <f ca="1">IFERROR(__xludf.DUMMYFUNCTION("""COMPUTED_VALUE"""),"Аргентина")</f>
        <v>Аргентина</v>
      </c>
      <c r="W12" s="14" t="str">
        <f ca="1">IFERROR(__xludf.DUMMYFUNCTION("""COMPUTED_VALUE"""),"Argentina")</f>
        <v>Argentina</v>
      </c>
      <c r="X12" s="14" t="str">
        <f ca="1">IFERROR(__xludf.DUMMYFUNCTION("""COMPUTED_VALUE"""),"Argentina")</f>
        <v>Argentina</v>
      </c>
      <c r="Y12" s="14" t="str">
        <f ca="1">IFERROR(__xludf.DUMMYFUNCTION("""COMPUTED_VALUE"""),"Argentína")</f>
        <v>Argentína</v>
      </c>
      <c r="Z12" s="14" t="str">
        <f ca="1">IFERROR(__xludf.DUMMYFUNCTION("""COMPUTED_VALUE"""),"อาร์เจนตินา")</f>
        <v>อาร์เจนตินา</v>
      </c>
      <c r="AA12" s="14" t="str">
        <f ca="1">IFERROR(__xludf.DUMMYFUNCTION("""COMPUTED_VALUE"""),"Arjantin")</f>
        <v>Arjantin</v>
      </c>
      <c r="AB12" s="14" t="str">
        <f ca="1">IFERROR(__xludf.DUMMYFUNCTION("""COMPUTED_VALUE"""),"ARJANTİN")</f>
        <v>ARJANTİN</v>
      </c>
      <c r="AC12" s="14" t="str">
        <f ca="1">IFERROR(__xludf.DUMMYFUNCTION("""COMPUTED_VALUE"""),"Аргентина")</f>
        <v>Аргентина</v>
      </c>
      <c r="AD12" s="14" t="str">
        <f ca="1">IFERROR(__xludf.DUMMYFUNCTION("""COMPUTED_VALUE"""),"Argentina")</f>
        <v>Argentina</v>
      </c>
      <c r="AE12" s="14" t="str">
        <f ca="1">IFERROR(__xludf.DUMMYFUNCTION("""COMPUTED_VALUE"""),"Аргентина")</f>
        <v>Аргентина</v>
      </c>
      <c r="AF12" s="14"/>
    </row>
    <row r="13" spans="1:32" ht="15.75" customHeight="1" x14ac:dyDescent="0.15">
      <c r="A13" s="14" t="str">
        <f ca="1">IFERROR(__xludf.DUMMYFUNCTION("""COMPUTED_VALUE"""),"AS")</f>
        <v>AS</v>
      </c>
      <c r="B13" s="14" t="str">
        <f ca="1">IFERROR(__xludf.DUMMYFUNCTION("""COMPUTED_VALUE"""),"American Samoa")</f>
        <v>American Samoa</v>
      </c>
      <c r="C13" s="14" t="str">
        <f ca="1">IFERROR(__xludf.DUMMYFUNCTION("""COMPUTED_VALUE"""),"ساموا الأمريكية")</f>
        <v>ساموا الأمريكية</v>
      </c>
      <c r="D13" s="14" t="str">
        <f ca="1">IFERROR(__xludf.DUMMYFUNCTION("""COMPUTED_VALUE"""),"Американска Самоа")</f>
        <v>Американска Самоа</v>
      </c>
      <c r="E13" s="14" t="str">
        <f ca="1">IFERROR(__xludf.DUMMYFUNCTION("""COMPUTED_VALUE"""),"Samoa Americana")</f>
        <v>Samoa Americana</v>
      </c>
      <c r="F13" s="14" t="str">
        <f ca="1">IFERROR(__xludf.DUMMYFUNCTION("""COMPUTED_VALUE"""),"Амерыканскае Самоа")</f>
        <v>Амерыканскае Самоа</v>
      </c>
      <c r="G13" s="14" t="str">
        <f ca="1">IFERROR(__xludf.DUMMYFUNCTION("""COMPUTED_VALUE"""),"Americká Samoa")</f>
        <v>Americká Samoa</v>
      </c>
      <c r="H13" s="14" t="str">
        <f ca="1">IFERROR(__xludf.DUMMYFUNCTION("""COMPUTED_VALUE"""),"Amerikanisch-Samoa")</f>
        <v>Amerikanisch-Samoa</v>
      </c>
      <c r="I13" s="14" t="str">
        <f ca="1">IFERROR(__xludf.DUMMYFUNCTION("""COMPUTED_VALUE"""),"Samoa Americana")</f>
        <v>Samoa Americana</v>
      </c>
      <c r="J13" s="14" t="str">
        <f ca="1">IFERROR(__xludf.DUMMYFUNCTION("""COMPUTED_VALUE"""),"Amerikan Samoa")</f>
        <v>Amerikan Samoa</v>
      </c>
      <c r="K13" s="14" t="str">
        <f ca="1">IFERROR(__xludf.DUMMYFUNCTION("""COMPUTED_VALUE"""),"Αμερικανική Σαμόα")</f>
        <v>Αμερικανική Σαμόα</v>
      </c>
      <c r="L13" s="14" t="str">
        <f ca="1">IFERROR(__xludf.DUMMYFUNCTION("""COMPUTED_VALUE"""),"ΑΜΕΡΙΚΑΝΙΚΗ ΣΑΜΟΑ")</f>
        <v>ΑΜΕΡΙΚΑΝΙΚΗ ΣΑΜΟΑ</v>
      </c>
      <c r="M13" s="14" t="str">
        <f ca="1">IFERROR(__xludf.DUMMYFUNCTION("""COMPUTED_VALUE"""),"Američka Samoa")</f>
        <v>Američka Samoa</v>
      </c>
      <c r="N13" s="14" t="str">
        <f ca="1">IFERROR(__xludf.DUMMYFUNCTION("""COMPUTED_VALUE"""),"Amerikai Szamoa")</f>
        <v>Amerikai Szamoa</v>
      </c>
      <c r="O13" s="14" t="str">
        <f ca="1">IFERROR(__xludf.DUMMYFUNCTION("""COMPUTED_VALUE"""),"Samoa Amerika")</f>
        <v>Samoa Amerika</v>
      </c>
      <c r="P13" s="14" t="str">
        <f ca="1">IFERROR(__xludf.DUMMYFUNCTION("""COMPUTED_VALUE"""),"Samoa Americane")</f>
        <v>Samoa Americane</v>
      </c>
      <c r="Q13" s="14" t="str">
        <f ca="1">IFERROR(__xludf.DUMMYFUNCTION("""COMPUTED_VALUE"""),"아메리칸사모아")</f>
        <v>아메리칸사모아</v>
      </c>
      <c r="R13" s="14" t="str">
        <f ca="1">IFERROR(__xludf.DUMMYFUNCTION("""COMPUTED_VALUE"""),"Samoa Amerykańskie")</f>
        <v>Samoa Amerykańskie</v>
      </c>
      <c r="S13" s="14" t="str">
        <f ca="1">IFERROR(__xludf.DUMMYFUNCTION("""COMPUTED_VALUE"""),"Samoa Americana")</f>
        <v>Samoa Americana</v>
      </c>
      <c r="T13" s="14" t="str">
        <f ca="1">IFERROR(__xludf.DUMMYFUNCTION("""COMPUTED_VALUE"""),"Samoa americană")</f>
        <v>Samoa americană</v>
      </c>
      <c r="U13" s="14" t="str">
        <f ca="1">IFERROR(__xludf.DUMMYFUNCTION("""COMPUTED_VALUE"""),"Američka Samoa")</f>
        <v>Američka Samoa</v>
      </c>
      <c r="V13" s="14" t="str">
        <f ca="1">IFERROR(__xludf.DUMMYFUNCTION("""COMPUTED_VALUE"""),"Американское Самоа")</f>
        <v>Американское Самоа</v>
      </c>
      <c r="W13" s="14" t="str">
        <f ca="1">IFERROR(__xludf.DUMMYFUNCTION("""COMPUTED_VALUE"""),"Amerikanska Samoa")</f>
        <v>Amerikanska Samoa</v>
      </c>
      <c r="X13" s="14" t="str">
        <f ca="1">IFERROR(__xludf.DUMMYFUNCTION("""COMPUTED_VALUE"""),"Ameriška Samoa")</f>
        <v>Ameriška Samoa</v>
      </c>
      <c r="Y13" s="14" t="str">
        <f ca="1">IFERROR(__xludf.DUMMYFUNCTION("""COMPUTED_VALUE"""),"Americká Samoa")</f>
        <v>Americká Samoa</v>
      </c>
      <c r="Z13" s="14" t="str">
        <f ca="1">IFERROR(__xludf.DUMMYFUNCTION("""COMPUTED_VALUE"""),"อเมริกันซามัว")</f>
        <v>อเมริกันซามัว</v>
      </c>
      <c r="AA13" s="14" t="str">
        <f ca="1">IFERROR(__xludf.DUMMYFUNCTION("""COMPUTED_VALUE"""),"Amerikan Samoası")</f>
        <v>Amerikan Samoası</v>
      </c>
      <c r="AB13" s="14" t="str">
        <f ca="1">IFERROR(__xludf.DUMMYFUNCTION("""COMPUTED_VALUE"""),"AMERİKAN SAMOASI")</f>
        <v>AMERİKAN SAMOASI</v>
      </c>
      <c r="AC13" s="14" t="str">
        <f ca="1">IFERROR(__xludf.DUMMYFUNCTION("""COMPUTED_VALUE"""),"Американське Самоа")</f>
        <v>Американське Самоа</v>
      </c>
      <c r="AD13" s="14" t="str">
        <f ca="1">IFERROR(__xludf.DUMMYFUNCTION("""COMPUTED_VALUE"""),"Samoa thuộc Mỹ")</f>
        <v>Samoa thuộc Mỹ</v>
      </c>
      <c r="AE13" s="14" t="str">
        <f ca="1">IFERROR(__xludf.DUMMYFUNCTION("""COMPUTED_VALUE"""),"Америка Самоасы")</f>
        <v>Америка Самоасы</v>
      </c>
      <c r="AF13" s="14"/>
    </row>
    <row r="14" spans="1:32" ht="15.75" customHeight="1" x14ac:dyDescent="0.15">
      <c r="A14" s="14" t="str">
        <f ca="1">IFERROR(__xludf.DUMMYFUNCTION("""COMPUTED_VALUE"""),"AT")</f>
        <v>AT</v>
      </c>
      <c r="B14" s="14" t="str">
        <f ca="1">IFERROR(__xludf.DUMMYFUNCTION("""COMPUTED_VALUE"""),"Austria")</f>
        <v>Austria</v>
      </c>
      <c r="C14" s="14" t="str">
        <f ca="1">IFERROR(__xludf.DUMMYFUNCTION("""COMPUTED_VALUE"""),"النمسا")</f>
        <v>النمسا</v>
      </c>
      <c r="D14" s="14" t="str">
        <f ca="1">IFERROR(__xludf.DUMMYFUNCTION("""COMPUTED_VALUE"""),"Австрия")</f>
        <v>Австрия</v>
      </c>
      <c r="E14" s="14" t="str">
        <f ca="1">IFERROR(__xludf.DUMMYFUNCTION("""COMPUTED_VALUE"""),"Áustria")</f>
        <v>Áustria</v>
      </c>
      <c r="F14" s="14" t="str">
        <f ca="1">IFERROR(__xludf.DUMMYFUNCTION("""COMPUTED_VALUE"""),"Аўстрыя")</f>
        <v>Аўстрыя</v>
      </c>
      <c r="G14" s="14" t="str">
        <f ca="1">IFERROR(__xludf.DUMMYFUNCTION("""COMPUTED_VALUE"""),"Rakousko")</f>
        <v>Rakousko</v>
      </c>
      <c r="H14" s="14" t="str">
        <f ca="1">IFERROR(__xludf.DUMMYFUNCTION("""COMPUTED_VALUE"""),"Österreich")</f>
        <v>Österreich</v>
      </c>
      <c r="I14" s="14" t="str">
        <f ca="1">IFERROR(__xludf.DUMMYFUNCTION("""COMPUTED_VALUE"""),"Austria")</f>
        <v>Austria</v>
      </c>
      <c r="J14" s="14" t="str">
        <f ca="1">IFERROR(__xludf.DUMMYFUNCTION("""COMPUTED_VALUE"""),"Itävalta")</f>
        <v>Itävalta</v>
      </c>
      <c r="K14" s="14" t="str">
        <f ca="1">IFERROR(__xludf.DUMMYFUNCTION("""COMPUTED_VALUE"""),"Αυστρία")</f>
        <v>Αυστρία</v>
      </c>
      <c r="L14" s="14" t="str">
        <f ca="1">IFERROR(__xludf.DUMMYFUNCTION("""COMPUTED_VALUE"""),"ΑΥΣΤΡΙΑ")</f>
        <v>ΑΥΣΤΡΙΑ</v>
      </c>
      <c r="M14" s="14" t="str">
        <f ca="1">IFERROR(__xludf.DUMMYFUNCTION("""COMPUTED_VALUE"""),"Austrija")</f>
        <v>Austrija</v>
      </c>
      <c r="N14" s="14" t="str">
        <f ca="1">IFERROR(__xludf.DUMMYFUNCTION("""COMPUTED_VALUE"""),"Ausztria")</f>
        <v>Ausztria</v>
      </c>
      <c r="O14" s="14" t="str">
        <f ca="1">IFERROR(__xludf.DUMMYFUNCTION("""COMPUTED_VALUE"""),"Austria")</f>
        <v>Austria</v>
      </c>
      <c r="P14" s="14" t="str">
        <f ca="1">IFERROR(__xludf.DUMMYFUNCTION("""COMPUTED_VALUE"""),"Austria")</f>
        <v>Austria</v>
      </c>
      <c r="Q14" s="14" t="str">
        <f ca="1">IFERROR(__xludf.DUMMYFUNCTION("""COMPUTED_VALUE"""),"오스트리아")</f>
        <v>오스트리아</v>
      </c>
      <c r="R14" s="14" t="str">
        <f ca="1">IFERROR(__xludf.DUMMYFUNCTION("""COMPUTED_VALUE"""),"Austria")</f>
        <v>Austria</v>
      </c>
      <c r="S14" s="14" t="str">
        <f ca="1">IFERROR(__xludf.DUMMYFUNCTION("""COMPUTED_VALUE"""),"Áustria")</f>
        <v>Áustria</v>
      </c>
      <c r="T14" s="14" t="str">
        <f ca="1">IFERROR(__xludf.DUMMYFUNCTION("""COMPUTED_VALUE"""),"Austria")</f>
        <v>Austria</v>
      </c>
      <c r="U14" s="14" t="str">
        <f ca="1">IFERROR(__xludf.DUMMYFUNCTION("""COMPUTED_VALUE"""),"Austrija")</f>
        <v>Austrija</v>
      </c>
      <c r="V14" s="14" t="str">
        <f ca="1">IFERROR(__xludf.DUMMYFUNCTION("""COMPUTED_VALUE"""),"Австрия")</f>
        <v>Австрия</v>
      </c>
      <c r="W14" s="14" t="str">
        <f ca="1">IFERROR(__xludf.DUMMYFUNCTION("""COMPUTED_VALUE"""),"Österrike")</f>
        <v>Österrike</v>
      </c>
      <c r="X14" s="14" t="str">
        <f ca="1">IFERROR(__xludf.DUMMYFUNCTION("""COMPUTED_VALUE"""),"Avstrija")</f>
        <v>Avstrija</v>
      </c>
      <c r="Y14" s="14" t="str">
        <f ca="1">IFERROR(__xludf.DUMMYFUNCTION("""COMPUTED_VALUE"""),"Rakúsko")</f>
        <v>Rakúsko</v>
      </c>
      <c r="Z14" s="14" t="str">
        <f ca="1">IFERROR(__xludf.DUMMYFUNCTION("""COMPUTED_VALUE"""),"ออสเตรีย")</f>
        <v>ออสเตรีย</v>
      </c>
      <c r="AA14" s="14" t="str">
        <f ca="1">IFERROR(__xludf.DUMMYFUNCTION("""COMPUTED_VALUE"""),"Avusturya")</f>
        <v>Avusturya</v>
      </c>
      <c r="AB14" s="14" t="str">
        <f ca="1">IFERROR(__xludf.DUMMYFUNCTION("""COMPUTED_VALUE"""),"AVUSTURYA")</f>
        <v>AVUSTURYA</v>
      </c>
      <c r="AC14" s="14" t="str">
        <f ca="1">IFERROR(__xludf.DUMMYFUNCTION("""COMPUTED_VALUE"""),"Австрія")</f>
        <v>Австрія</v>
      </c>
      <c r="AD14" s="14" t="str">
        <f ca="1">IFERROR(__xludf.DUMMYFUNCTION("""COMPUTED_VALUE"""),"Áo")</f>
        <v>Áo</v>
      </c>
      <c r="AE14" s="14" t="str">
        <f ca="1">IFERROR(__xludf.DUMMYFUNCTION("""COMPUTED_VALUE"""),"Аустрия")</f>
        <v>Аустрия</v>
      </c>
      <c r="AF14" s="14"/>
    </row>
    <row r="15" spans="1:32" ht="15.75" customHeight="1" x14ac:dyDescent="0.15">
      <c r="A15" s="14" t="str">
        <f ca="1">IFERROR(__xludf.DUMMYFUNCTION("""COMPUTED_VALUE"""),"AU")</f>
        <v>AU</v>
      </c>
      <c r="B15" s="14" t="str">
        <f ca="1">IFERROR(__xludf.DUMMYFUNCTION("""COMPUTED_VALUE"""),"Australia")</f>
        <v>Australia</v>
      </c>
      <c r="C15" s="14" t="str">
        <f ca="1">IFERROR(__xludf.DUMMYFUNCTION("""COMPUTED_VALUE"""),"أستراليا")</f>
        <v>أستراليا</v>
      </c>
      <c r="D15" s="14" t="str">
        <f ca="1">IFERROR(__xludf.DUMMYFUNCTION("""COMPUTED_VALUE"""),"Австралия")</f>
        <v>Австралия</v>
      </c>
      <c r="E15" s="14" t="str">
        <f ca="1">IFERROR(__xludf.DUMMYFUNCTION("""COMPUTED_VALUE"""),"Austrália")</f>
        <v>Austrália</v>
      </c>
      <c r="F15" s="14" t="str">
        <f ca="1">IFERROR(__xludf.DUMMYFUNCTION("""COMPUTED_VALUE"""),"Аўстралія")</f>
        <v>Аўстралія</v>
      </c>
      <c r="G15" s="14" t="str">
        <f ca="1">IFERROR(__xludf.DUMMYFUNCTION("""COMPUTED_VALUE"""),"Austrálie")</f>
        <v>Austrálie</v>
      </c>
      <c r="H15" s="14" t="str">
        <f ca="1">IFERROR(__xludf.DUMMYFUNCTION("""COMPUTED_VALUE"""),"Australien")</f>
        <v>Australien</v>
      </c>
      <c r="I15" s="14" t="str">
        <f ca="1">IFERROR(__xludf.DUMMYFUNCTION("""COMPUTED_VALUE"""),"Australia")</f>
        <v>Australia</v>
      </c>
      <c r="J15" s="14" t="str">
        <f ca="1">IFERROR(__xludf.DUMMYFUNCTION("""COMPUTED_VALUE"""),"Australia")</f>
        <v>Australia</v>
      </c>
      <c r="K15" s="14" t="str">
        <f ca="1">IFERROR(__xludf.DUMMYFUNCTION("""COMPUTED_VALUE"""),"Αυστραλία")</f>
        <v>Αυστραλία</v>
      </c>
      <c r="L15" s="14" t="str">
        <f ca="1">IFERROR(__xludf.DUMMYFUNCTION("""COMPUTED_VALUE"""),"ΑΥΣΤΡΑΛΙΑ")</f>
        <v>ΑΥΣΤΡΑΛΙΑ</v>
      </c>
      <c r="M15" s="14" t="str">
        <f ca="1">IFERROR(__xludf.DUMMYFUNCTION("""COMPUTED_VALUE"""),"Australija")</f>
        <v>Australija</v>
      </c>
      <c r="N15" s="14" t="str">
        <f ca="1">IFERROR(__xludf.DUMMYFUNCTION("""COMPUTED_VALUE"""),"Ausztrália")</f>
        <v>Ausztrália</v>
      </c>
      <c r="O15" s="14" t="str">
        <f ca="1">IFERROR(__xludf.DUMMYFUNCTION("""COMPUTED_VALUE"""),"Australia")</f>
        <v>Australia</v>
      </c>
      <c r="P15" s="14" t="str">
        <f ca="1">IFERROR(__xludf.DUMMYFUNCTION("""COMPUTED_VALUE"""),"Australia")</f>
        <v>Australia</v>
      </c>
      <c r="Q15" s="14" t="str">
        <f ca="1">IFERROR(__xludf.DUMMYFUNCTION("""COMPUTED_VALUE"""),"오스트레일리아")</f>
        <v>오스트레일리아</v>
      </c>
      <c r="R15" s="14" t="str">
        <f ca="1">IFERROR(__xludf.DUMMYFUNCTION("""COMPUTED_VALUE"""),"Australia")</f>
        <v>Australia</v>
      </c>
      <c r="S15" s="14" t="str">
        <f ca="1">IFERROR(__xludf.DUMMYFUNCTION("""COMPUTED_VALUE"""),"Austrália")</f>
        <v>Austrália</v>
      </c>
      <c r="T15" s="14" t="str">
        <f ca="1">IFERROR(__xludf.DUMMYFUNCTION("""COMPUTED_VALUE"""),"Australia")</f>
        <v>Australia</v>
      </c>
      <c r="U15" s="14" t="str">
        <f ca="1">IFERROR(__xludf.DUMMYFUNCTION("""COMPUTED_VALUE"""),"Australija")</f>
        <v>Australija</v>
      </c>
      <c r="V15" s="14" t="str">
        <f ca="1">IFERROR(__xludf.DUMMYFUNCTION("""COMPUTED_VALUE"""),"Австралия")</f>
        <v>Австралия</v>
      </c>
      <c r="W15" s="14" t="str">
        <f ca="1">IFERROR(__xludf.DUMMYFUNCTION("""COMPUTED_VALUE"""),"Australien")</f>
        <v>Australien</v>
      </c>
      <c r="X15" s="14" t="str">
        <f ca="1">IFERROR(__xludf.DUMMYFUNCTION("""COMPUTED_VALUE"""),"Avstralija")</f>
        <v>Avstralija</v>
      </c>
      <c r="Y15" s="14" t="str">
        <f ca="1">IFERROR(__xludf.DUMMYFUNCTION("""COMPUTED_VALUE"""),"Austrália")</f>
        <v>Austrália</v>
      </c>
      <c r="Z15" s="14" t="str">
        <f ca="1">IFERROR(__xludf.DUMMYFUNCTION("""COMPUTED_VALUE"""),"ออสเตรเลีย")</f>
        <v>ออสเตรเลีย</v>
      </c>
      <c r="AA15" s="14" t="str">
        <f ca="1">IFERROR(__xludf.DUMMYFUNCTION("""COMPUTED_VALUE"""),"Avustralya")</f>
        <v>Avustralya</v>
      </c>
      <c r="AB15" s="14" t="str">
        <f ca="1">IFERROR(__xludf.DUMMYFUNCTION("""COMPUTED_VALUE"""),"AVUSTRALYA")</f>
        <v>AVUSTRALYA</v>
      </c>
      <c r="AC15" s="14" t="str">
        <f ca="1">IFERROR(__xludf.DUMMYFUNCTION("""COMPUTED_VALUE"""),"Австралія")</f>
        <v>Австралія</v>
      </c>
      <c r="AD15" s="14" t="str">
        <f ca="1">IFERROR(__xludf.DUMMYFUNCTION("""COMPUTED_VALUE"""),"Úc")</f>
        <v>Úc</v>
      </c>
      <c r="AE15" s="14" t="str">
        <f ca="1">IFERROR(__xludf.DUMMYFUNCTION("""COMPUTED_VALUE"""),"Аустралия")</f>
        <v>Аустралия</v>
      </c>
      <c r="AF15" s="14"/>
    </row>
    <row r="16" spans="1:32" ht="15.75" customHeight="1" x14ac:dyDescent="0.15">
      <c r="A16" s="14" t="str">
        <f ca="1">IFERROR(__xludf.DUMMYFUNCTION("""COMPUTED_VALUE"""),"AW")</f>
        <v>AW</v>
      </c>
      <c r="B16" s="14" t="str">
        <f ca="1">IFERROR(__xludf.DUMMYFUNCTION("""COMPUTED_VALUE"""),"Aruba")</f>
        <v>Aruba</v>
      </c>
      <c r="C16" s="14" t="str">
        <f ca="1">IFERROR(__xludf.DUMMYFUNCTION("""COMPUTED_VALUE"""),"آروبا")</f>
        <v>آروبا</v>
      </c>
      <c r="D16" s="14" t="str">
        <f ca="1">IFERROR(__xludf.DUMMYFUNCTION("""COMPUTED_VALUE"""),"Аруба")</f>
        <v>Аруба</v>
      </c>
      <c r="E16" s="14" t="str">
        <f ca="1">IFERROR(__xludf.DUMMYFUNCTION("""COMPUTED_VALUE"""),"Aruba")</f>
        <v>Aruba</v>
      </c>
      <c r="F16" s="14" t="str">
        <f ca="1">IFERROR(__xludf.DUMMYFUNCTION("""COMPUTED_VALUE"""),"Аруба")</f>
        <v>Аруба</v>
      </c>
      <c r="G16" s="14" t="str">
        <f ca="1">IFERROR(__xludf.DUMMYFUNCTION("""COMPUTED_VALUE"""),"Aruba")</f>
        <v>Aruba</v>
      </c>
      <c r="H16" s="14" t="str">
        <f ca="1">IFERROR(__xludf.DUMMYFUNCTION("""COMPUTED_VALUE"""),"Aruba")</f>
        <v>Aruba</v>
      </c>
      <c r="I16" s="14" t="str">
        <f ca="1">IFERROR(__xludf.DUMMYFUNCTION("""COMPUTED_VALUE"""),"Aruba")</f>
        <v>Aruba</v>
      </c>
      <c r="J16" s="14" t="str">
        <f ca="1">IFERROR(__xludf.DUMMYFUNCTION("""COMPUTED_VALUE"""),"Aruba")</f>
        <v>Aruba</v>
      </c>
      <c r="K16" s="14" t="str">
        <f ca="1">IFERROR(__xludf.DUMMYFUNCTION("""COMPUTED_VALUE"""),"Αρούμπα")</f>
        <v>Αρούμπα</v>
      </c>
      <c r="L16" s="14" t="str">
        <f ca="1">IFERROR(__xludf.DUMMYFUNCTION("""COMPUTED_VALUE"""),"ΑΡΟΥΜΠΑ")</f>
        <v>ΑΡΟΥΜΠΑ</v>
      </c>
      <c r="M16" s="14" t="str">
        <f ca="1">IFERROR(__xludf.DUMMYFUNCTION("""COMPUTED_VALUE"""),"Aruba")</f>
        <v>Aruba</v>
      </c>
      <c r="N16" s="14" t="str">
        <f ca="1">IFERROR(__xludf.DUMMYFUNCTION("""COMPUTED_VALUE"""),"Aruba")</f>
        <v>Aruba</v>
      </c>
      <c r="O16" s="14" t="str">
        <f ca="1">IFERROR(__xludf.DUMMYFUNCTION("""COMPUTED_VALUE"""),"Aruba")</f>
        <v>Aruba</v>
      </c>
      <c r="P16" s="14" t="str">
        <f ca="1">IFERROR(__xludf.DUMMYFUNCTION("""COMPUTED_VALUE"""),"Aruba")</f>
        <v>Aruba</v>
      </c>
      <c r="Q16" s="14" t="str">
        <f ca="1">IFERROR(__xludf.DUMMYFUNCTION("""COMPUTED_VALUE"""),"아루바")</f>
        <v>아루바</v>
      </c>
      <c r="R16" s="14" t="str">
        <f ca="1">IFERROR(__xludf.DUMMYFUNCTION("""COMPUTED_VALUE"""),"Aruba")</f>
        <v>Aruba</v>
      </c>
      <c r="S16" s="14" t="str">
        <f ca="1">IFERROR(__xludf.DUMMYFUNCTION("""COMPUTED_VALUE"""),"Aruba")</f>
        <v>Aruba</v>
      </c>
      <c r="T16" s="14" t="str">
        <f ca="1">IFERROR(__xludf.DUMMYFUNCTION("""COMPUTED_VALUE"""),"Aruba")</f>
        <v>Aruba</v>
      </c>
      <c r="U16" s="14" t="str">
        <f ca="1">IFERROR(__xludf.DUMMYFUNCTION("""COMPUTED_VALUE"""),"Aruba")</f>
        <v>Aruba</v>
      </c>
      <c r="V16" s="14" t="str">
        <f ca="1">IFERROR(__xludf.DUMMYFUNCTION("""COMPUTED_VALUE"""),"Аруба")</f>
        <v>Аруба</v>
      </c>
      <c r="W16" s="14" t="str">
        <f ca="1">IFERROR(__xludf.DUMMYFUNCTION("""COMPUTED_VALUE"""),"Aruba")</f>
        <v>Aruba</v>
      </c>
      <c r="X16" s="14" t="str">
        <f ca="1">IFERROR(__xludf.DUMMYFUNCTION("""COMPUTED_VALUE"""),"Aruba")</f>
        <v>Aruba</v>
      </c>
      <c r="Y16" s="14" t="str">
        <f ca="1">IFERROR(__xludf.DUMMYFUNCTION("""COMPUTED_VALUE"""),"Aruba")</f>
        <v>Aruba</v>
      </c>
      <c r="Z16" s="14" t="str">
        <f ca="1">IFERROR(__xludf.DUMMYFUNCTION("""COMPUTED_VALUE"""),"อารูบา")</f>
        <v>อารูบา</v>
      </c>
      <c r="AA16" s="14" t="str">
        <f ca="1">IFERROR(__xludf.DUMMYFUNCTION("""COMPUTED_VALUE"""),"Aruba")</f>
        <v>Aruba</v>
      </c>
      <c r="AB16" s="14" t="str">
        <f ca="1">IFERROR(__xludf.DUMMYFUNCTION("""COMPUTED_VALUE"""),"ARUBA")</f>
        <v>ARUBA</v>
      </c>
      <c r="AC16" s="14" t="str">
        <f ca="1">IFERROR(__xludf.DUMMYFUNCTION("""COMPUTED_VALUE"""),"Аруба")</f>
        <v>Аруба</v>
      </c>
      <c r="AD16" s="14" t="str">
        <f ca="1">IFERROR(__xludf.DUMMYFUNCTION("""COMPUTED_VALUE"""),"Aruba")</f>
        <v>Aruba</v>
      </c>
      <c r="AE16" s="14" t="str">
        <f ca="1">IFERROR(__xludf.DUMMYFUNCTION("""COMPUTED_VALUE"""),"Аруба")</f>
        <v>Аруба</v>
      </c>
      <c r="AF16" s="14"/>
    </row>
    <row r="17" spans="1:32" ht="15.75" customHeight="1" x14ac:dyDescent="0.15">
      <c r="A17" s="14" t="str">
        <f ca="1">IFERROR(__xludf.DUMMYFUNCTION("""COMPUTED_VALUE"""),"AX")</f>
        <v>AX</v>
      </c>
      <c r="B17" s="14" t="str">
        <f ca="1">IFERROR(__xludf.DUMMYFUNCTION("""COMPUTED_VALUE"""),"Åland Islands")</f>
        <v>Åland Islands</v>
      </c>
      <c r="C17" s="14" t="str">
        <f ca="1">IFERROR(__xludf.DUMMYFUNCTION("""COMPUTED_VALUE"""),"جزر أولان")</f>
        <v>جزر أولان</v>
      </c>
      <c r="D17" s="14" t="str">
        <f ca="1">IFERROR(__xludf.DUMMYFUNCTION("""COMPUTED_VALUE"""),"Оланд")</f>
        <v>Оланд</v>
      </c>
      <c r="E17" s="14" t="str">
        <f ca="1">IFERROR(__xludf.DUMMYFUNCTION("""COMPUTED_VALUE"""),"Åland, Ilhas")</f>
        <v>Åland, Ilhas</v>
      </c>
      <c r="F17" s="14" t="str">
        <f ca="1">IFERROR(__xludf.DUMMYFUNCTION("""COMPUTED_VALUE"""),"Аландскія астравы")</f>
        <v>Аландскія астравы</v>
      </c>
      <c r="G17" s="14" t="str">
        <f ca="1">IFERROR(__xludf.DUMMYFUNCTION("""COMPUTED_VALUE"""),"Ålandy")</f>
        <v>Ålandy</v>
      </c>
      <c r="H17" s="14" t="str">
        <f ca="1">IFERROR(__xludf.DUMMYFUNCTION("""COMPUTED_VALUE"""),"Åland")</f>
        <v>Åland</v>
      </c>
      <c r="I17" s="14" t="str">
        <f ca="1">IFERROR(__xludf.DUMMYFUNCTION("""COMPUTED_VALUE"""),"Åland, Islas")</f>
        <v>Åland, Islas</v>
      </c>
      <c r="J17" s="14" t="str">
        <f ca="1">IFERROR(__xludf.DUMMYFUNCTION("""COMPUTED_VALUE"""),"Ahvenanmaa")</f>
        <v>Ahvenanmaa</v>
      </c>
      <c r="K17" s="14" t="str">
        <f ca="1">IFERROR(__xludf.DUMMYFUNCTION("""COMPUTED_VALUE"""),"Ώλαντ")</f>
        <v>Ώλαντ</v>
      </c>
      <c r="L17" s="14" t="str">
        <f ca="1">IFERROR(__xludf.DUMMYFUNCTION("""COMPUTED_VALUE"""),"ΩΛΑΝΤ")</f>
        <v>ΩΛΑΝΤ</v>
      </c>
      <c r="M17" s="14"/>
      <c r="N17" s="14" t="str">
        <f ca="1">IFERROR(__xludf.DUMMYFUNCTION("""COMPUTED_VALUE"""),"Åland")</f>
        <v>Åland</v>
      </c>
      <c r="O17" s="14" t="str">
        <f ca="1">IFERROR(__xludf.DUMMYFUNCTION("""COMPUTED_VALUE"""),"Åland, Kepulauan")</f>
        <v>Åland, Kepulauan</v>
      </c>
      <c r="P17" s="14" t="str">
        <f ca="1">IFERROR(__xludf.DUMMYFUNCTION("""COMPUTED_VALUE"""),"Isole Åland")</f>
        <v>Isole Åland</v>
      </c>
      <c r="Q17" s="14" t="str">
        <f ca="1">IFERROR(__xludf.DUMMYFUNCTION("""COMPUTED_VALUE"""),"올란드 제도")</f>
        <v>올란드 제도</v>
      </c>
      <c r="R17" s="14" t="str">
        <f ca="1">IFERROR(__xludf.DUMMYFUNCTION("""COMPUTED_VALUE"""),"Wyspy Alandzkie")</f>
        <v>Wyspy Alandzkie</v>
      </c>
      <c r="S17" s="14" t="str">
        <f ca="1">IFERROR(__xludf.DUMMYFUNCTION("""COMPUTED_VALUE"""),"Åland, Ilhas")</f>
        <v>Åland, Ilhas</v>
      </c>
      <c r="T17" s="14" t="str">
        <f ca="1">IFERROR(__xludf.DUMMYFUNCTION("""COMPUTED_VALUE"""),"Insulele Åland")</f>
        <v>Insulele Åland</v>
      </c>
      <c r="U17" s="14" t="str">
        <f ca="1">IFERROR(__xludf.DUMMYFUNCTION("""COMPUTED_VALUE"""),"Olandska Ostrva")</f>
        <v>Olandska Ostrva</v>
      </c>
      <c r="V17" s="14" t="str">
        <f ca="1">IFERROR(__xludf.DUMMYFUNCTION("""COMPUTED_VALUE"""),"Аландские острова")</f>
        <v>Аландские острова</v>
      </c>
      <c r="W17" s="14" t="str">
        <f ca="1">IFERROR(__xludf.DUMMYFUNCTION("""COMPUTED_VALUE"""),"Åland")</f>
        <v>Åland</v>
      </c>
      <c r="X17" s="14" t="str">
        <f ca="1">IFERROR(__xludf.DUMMYFUNCTION("""COMPUTED_VALUE"""),"Ålandski otoki")</f>
        <v>Ålandski otoki</v>
      </c>
      <c r="Y17" s="14" t="str">
        <f ca="1">IFERROR(__xludf.DUMMYFUNCTION("""COMPUTED_VALUE"""),"Alandy")</f>
        <v>Alandy</v>
      </c>
      <c r="Z17" s="14" t="str">
        <f ca="1">IFERROR(__xludf.DUMMYFUNCTION("""COMPUTED_VALUE"""),"หมู่เกาะโอลันด์")</f>
        <v>หมู่เกาะโอลันด์</v>
      </c>
      <c r="AA17" s="14" t="str">
        <f ca="1">IFERROR(__xludf.DUMMYFUNCTION("""COMPUTED_VALUE"""),"Aland adaları")</f>
        <v>Aland adaları</v>
      </c>
      <c r="AB17" s="14" t="str">
        <f ca="1">IFERROR(__xludf.DUMMYFUNCTION("""COMPUTED_VALUE"""),"ALAND ADALARI")</f>
        <v>ALAND ADALARI</v>
      </c>
      <c r="AC17" s="14" t="str">
        <f ca="1">IFERROR(__xludf.DUMMYFUNCTION("""COMPUTED_VALUE"""),"Аландські острови")</f>
        <v>Аландські острови</v>
      </c>
      <c r="AD17" s="14"/>
      <c r="AE17" s="14" t="str">
        <f ca="1">IFERROR(__xludf.DUMMYFUNCTION("""COMPUTED_VALUE"""),"Аланд аралдары")</f>
        <v>Аланд аралдары</v>
      </c>
      <c r="AF17" s="14"/>
    </row>
    <row r="18" spans="1:32" ht="15.75" customHeight="1" x14ac:dyDescent="0.15">
      <c r="A18" s="14" t="str">
        <f ca="1">IFERROR(__xludf.DUMMYFUNCTION("""COMPUTED_VALUE"""),"AZ")</f>
        <v>AZ</v>
      </c>
      <c r="B18" s="14" t="str">
        <f ca="1">IFERROR(__xludf.DUMMYFUNCTION("""COMPUTED_VALUE"""),"Azerbaijan")</f>
        <v>Azerbaijan</v>
      </c>
      <c r="C18" s="14" t="str">
        <f ca="1">IFERROR(__xludf.DUMMYFUNCTION("""COMPUTED_VALUE"""),"أذربيجان")</f>
        <v>أذربيجان</v>
      </c>
      <c r="D18" s="14" t="str">
        <f ca="1">IFERROR(__xludf.DUMMYFUNCTION("""COMPUTED_VALUE"""),"Азербайджан")</f>
        <v>Азербайджан</v>
      </c>
      <c r="E18" s="14" t="str">
        <f ca="1">IFERROR(__xludf.DUMMYFUNCTION("""COMPUTED_VALUE"""),"Azerbaijão")</f>
        <v>Azerbaijão</v>
      </c>
      <c r="F18" s="14" t="str">
        <f ca="1">IFERROR(__xludf.DUMMYFUNCTION("""COMPUTED_VALUE"""),"Азербайджан")</f>
        <v>Азербайджан</v>
      </c>
      <c r="G18" s="14" t="str">
        <f ca="1">IFERROR(__xludf.DUMMYFUNCTION("""COMPUTED_VALUE"""),"Ázerbájdžán")</f>
        <v>Ázerbájdžán</v>
      </c>
      <c r="H18" s="14" t="str">
        <f ca="1">IFERROR(__xludf.DUMMYFUNCTION("""COMPUTED_VALUE"""),"Aserbaidschan")</f>
        <v>Aserbaidschan</v>
      </c>
      <c r="I18" s="14" t="str">
        <f ca="1">IFERROR(__xludf.DUMMYFUNCTION("""COMPUTED_VALUE"""),"Azerbaiyán")</f>
        <v>Azerbaiyán</v>
      </c>
      <c r="J18" s="14" t="str">
        <f ca="1">IFERROR(__xludf.DUMMYFUNCTION("""COMPUTED_VALUE"""),"Azerbaidžan")</f>
        <v>Azerbaidžan</v>
      </c>
      <c r="K18" s="14" t="str">
        <f ca="1">IFERROR(__xludf.DUMMYFUNCTION("""COMPUTED_VALUE"""),"Αζερμπαϊτζάν")</f>
        <v>Αζερμπαϊτζάν</v>
      </c>
      <c r="L18" s="14" t="str">
        <f ca="1">IFERROR(__xludf.DUMMYFUNCTION("""COMPUTED_VALUE"""),"ΑΖΕΡΜΠΑΪΤΖΑΝ")</f>
        <v>ΑΖΕΡΜΠΑΪΤΖΑΝ</v>
      </c>
      <c r="M18" s="14" t="str">
        <f ca="1">IFERROR(__xludf.DUMMYFUNCTION("""COMPUTED_VALUE"""),"Azerbajdžan")</f>
        <v>Azerbajdžan</v>
      </c>
      <c r="N18" s="14" t="str">
        <f ca="1">IFERROR(__xludf.DUMMYFUNCTION("""COMPUTED_VALUE"""),"Azerbajdzsán")</f>
        <v>Azerbajdzsán</v>
      </c>
      <c r="O18" s="14" t="str">
        <f ca="1">IFERROR(__xludf.DUMMYFUNCTION("""COMPUTED_VALUE"""),"Azerbaijan")</f>
        <v>Azerbaijan</v>
      </c>
      <c r="P18" s="14" t="str">
        <f ca="1">IFERROR(__xludf.DUMMYFUNCTION("""COMPUTED_VALUE"""),"Azerbaigian")</f>
        <v>Azerbaigian</v>
      </c>
      <c r="Q18" s="14" t="str">
        <f ca="1">IFERROR(__xludf.DUMMYFUNCTION("""COMPUTED_VALUE"""),"아제르바이잔")</f>
        <v>아제르바이잔</v>
      </c>
      <c r="R18" s="14" t="str">
        <f ca="1">IFERROR(__xludf.DUMMYFUNCTION("""COMPUTED_VALUE"""),"Azerbejdżan")</f>
        <v>Azerbejdżan</v>
      </c>
      <c r="S18" s="14" t="str">
        <f ca="1">IFERROR(__xludf.DUMMYFUNCTION("""COMPUTED_VALUE"""),"Azerbaijão")</f>
        <v>Azerbaijão</v>
      </c>
      <c r="T18" s="14" t="str">
        <f ca="1">IFERROR(__xludf.DUMMYFUNCTION("""COMPUTED_VALUE"""),"Azerbaidjan")</f>
        <v>Azerbaidjan</v>
      </c>
      <c r="U18" s="14" t="str">
        <f ca="1">IFERROR(__xludf.DUMMYFUNCTION("""COMPUTED_VALUE"""),"Azerbejdžan")</f>
        <v>Azerbejdžan</v>
      </c>
      <c r="V18" s="14" t="str">
        <f ca="1">IFERROR(__xludf.DUMMYFUNCTION("""COMPUTED_VALUE"""),"Азербайджан")</f>
        <v>Азербайджан</v>
      </c>
      <c r="W18" s="14" t="str">
        <f ca="1">IFERROR(__xludf.DUMMYFUNCTION("""COMPUTED_VALUE"""),"Azerbajdzjan")</f>
        <v>Azerbajdzjan</v>
      </c>
      <c r="X18" s="14" t="str">
        <f ca="1">IFERROR(__xludf.DUMMYFUNCTION("""COMPUTED_VALUE"""),"Azerbajdžan")</f>
        <v>Azerbajdžan</v>
      </c>
      <c r="Y18" s="14" t="str">
        <f ca="1">IFERROR(__xludf.DUMMYFUNCTION("""COMPUTED_VALUE"""),"Azerbajdžan")</f>
        <v>Azerbajdžan</v>
      </c>
      <c r="Z18" s="14" t="str">
        <f ca="1">IFERROR(__xludf.DUMMYFUNCTION("""COMPUTED_VALUE"""),"อาเซอร์ไบจาน")</f>
        <v>อาเซอร์ไบจาน</v>
      </c>
      <c r="AA18" s="14" t="str">
        <f ca="1">IFERROR(__xludf.DUMMYFUNCTION("""COMPUTED_VALUE"""),"Azerbeycan")</f>
        <v>Azerbeycan</v>
      </c>
      <c r="AB18" s="14" t="str">
        <f ca="1">IFERROR(__xludf.DUMMYFUNCTION("""COMPUTED_VALUE"""),"AZERBEYCAN")</f>
        <v>AZERBEYCAN</v>
      </c>
      <c r="AC18" s="14" t="str">
        <f ca="1">IFERROR(__xludf.DUMMYFUNCTION("""COMPUTED_VALUE"""),"Азербайджан")</f>
        <v>Азербайджан</v>
      </c>
      <c r="AD18" s="14" t="str">
        <f ca="1">IFERROR(__xludf.DUMMYFUNCTION("""COMPUTED_VALUE"""),"Azerbaijan")</f>
        <v>Azerbaijan</v>
      </c>
      <c r="AE18" s="14" t="str">
        <f ca="1">IFERROR(__xludf.DUMMYFUNCTION("""COMPUTED_VALUE"""),"Әзірбайжан")</f>
        <v>Әзірбайжан</v>
      </c>
      <c r="AF18" s="14"/>
    </row>
    <row r="19" spans="1:32" ht="15.75" customHeight="1" x14ac:dyDescent="0.15">
      <c r="A19" s="14" t="str">
        <f ca="1">IFERROR(__xludf.DUMMYFUNCTION("""COMPUTED_VALUE"""),"BA")</f>
        <v>BA</v>
      </c>
      <c r="B19" s="14" t="str">
        <f ca="1">IFERROR(__xludf.DUMMYFUNCTION("""COMPUTED_VALUE"""),"Bosnia and Herzegovina")</f>
        <v>Bosnia and Herzegovina</v>
      </c>
      <c r="C19" s="14" t="str">
        <f ca="1">IFERROR(__xludf.DUMMYFUNCTION("""COMPUTED_VALUE"""),"البوسنة والهرسك")</f>
        <v>البوسنة والهرسك</v>
      </c>
      <c r="D19" s="14" t="str">
        <f ca="1">IFERROR(__xludf.DUMMYFUNCTION("""COMPUTED_VALUE"""),"Босна и Херцеговина")</f>
        <v>Босна и Херцеговина</v>
      </c>
      <c r="E19" s="14" t="str">
        <f ca="1">IFERROR(__xludf.DUMMYFUNCTION("""COMPUTED_VALUE"""),"Bósnia e Herzegovina")</f>
        <v>Bósnia e Herzegovina</v>
      </c>
      <c r="F19" s="14" t="str">
        <f ca="1">IFERROR(__xludf.DUMMYFUNCTION("""COMPUTED_VALUE"""),"Боснія і Герцагавіна")</f>
        <v>Боснія і Герцагавіна</v>
      </c>
      <c r="G19" s="14" t="str">
        <f ca="1">IFERROR(__xludf.DUMMYFUNCTION("""COMPUTED_VALUE"""),"Bosna a Hercegovina")</f>
        <v>Bosna a Hercegovina</v>
      </c>
      <c r="H19" s="14" t="str">
        <f ca="1">IFERROR(__xludf.DUMMYFUNCTION("""COMPUTED_VALUE"""),"Bosnien und Herzegowina")</f>
        <v>Bosnien und Herzegowina</v>
      </c>
      <c r="I19" s="14" t="str">
        <f ca="1">IFERROR(__xludf.DUMMYFUNCTION("""COMPUTED_VALUE"""),"Bosnia y Herzegovina")</f>
        <v>Bosnia y Herzegovina</v>
      </c>
      <c r="J19" s="14" t="str">
        <f ca="1">IFERROR(__xludf.DUMMYFUNCTION("""COMPUTED_VALUE"""),"Bosnia ja Hertsegovina")</f>
        <v>Bosnia ja Hertsegovina</v>
      </c>
      <c r="K19" s="14" t="str">
        <f ca="1">IFERROR(__xludf.DUMMYFUNCTION("""COMPUTED_VALUE"""),"Βοσνία-Ερζεγοβίνη")</f>
        <v>Βοσνία-Ερζεγοβίνη</v>
      </c>
      <c r="L19" s="14" t="str">
        <f ca="1">IFERROR(__xludf.DUMMYFUNCTION("""COMPUTED_VALUE"""),"ΒΟΣΝΙΑ-ΕΡΖΕΓΟΒΙΝΗ")</f>
        <v>ΒΟΣΝΙΑ-ΕΡΖΕΓΟΒΙΝΗ</v>
      </c>
      <c r="M19" s="14" t="str">
        <f ca="1">IFERROR(__xludf.DUMMYFUNCTION("""COMPUTED_VALUE"""),"Bosna i Hercegovina")</f>
        <v>Bosna i Hercegovina</v>
      </c>
      <c r="N19" s="14" t="str">
        <f ca="1">IFERROR(__xludf.DUMMYFUNCTION("""COMPUTED_VALUE"""),"Bosznia-Hercegovina")</f>
        <v>Bosznia-Hercegovina</v>
      </c>
      <c r="O19" s="14" t="str">
        <f ca="1">IFERROR(__xludf.DUMMYFUNCTION("""COMPUTED_VALUE"""),"Bosnia dan Herzegovina")</f>
        <v>Bosnia dan Herzegovina</v>
      </c>
      <c r="P19" s="14" t="str">
        <f ca="1">IFERROR(__xludf.DUMMYFUNCTION("""COMPUTED_VALUE"""),"Bosnia ed Erzegovina")</f>
        <v>Bosnia ed Erzegovina</v>
      </c>
      <c r="Q19" s="14" t="str">
        <f ca="1">IFERROR(__xludf.DUMMYFUNCTION("""COMPUTED_VALUE"""),"보스니아 헤르체고비나")</f>
        <v>보스니아 헤르체고비나</v>
      </c>
      <c r="R19" s="14" t="str">
        <f ca="1">IFERROR(__xludf.DUMMYFUNCTION("""COMPUTED_VALUE"""),"Bośnia i Hercegowina")</f>
        <v>Bośnia i Hercegowina</v>
      </c>
      <c r="S19" s="14" t="str">
        <f ca="1">IFERROR(__xludf.DUMMYFUNCTION("""COMPUTED_VALUE"""),"Bósnia e Herzegovina")</f>
        <v>Bósnia e Herzegovina</v>
      </c>
      <c r="T19" s="14" t="str">
        <f ca="1">IFERROR(__xludf.DUMMYFUNCTION("""COMPUTED_VALUE"""),"Bosnia și Herțegovina")</f>
        <v>Bosnia și Herțegovina</v>
      </c>
      <c r="U19" s="14" t="str">
        <f ca="1">IFERROR(__xludf.DUMMYFUNCTION("""COMPUTED_VALUE"""),"Bosna i Hercegovina")</f>
        <v>Bosna i Hercegovina</v>
      </c>
      <c r="V19" s="14" t="str">
        <f ca="1">IFERROR(__xludf.DUMMYFUNCTION("""COMPUTED_VALUE"""),"Босния и Герцеговина")</f>
        <v>Босния и Герцеговина</v>
      </c>
      <c r="W19" s="14" t="str">
        <f ca="1">IFERROR(__xludf.DUMMYFUNCTION("""COMPUTED_VALUE"""),"Bosnien och Hercegovina")</f>
        <v>Bosnien och Hercegovina</v>
      </c>
      <c r="X19" s="14" t="str">
        <f ca="1">IFERROR(__xludf.DUMMYFUNCTION("""COMPUTED_VALUE"""),"Bosna in Hercegovina")</f>
        <v>Bosna in Hercegovina</v>
      </c>
      <c r="Y19" s="14" t="str">
        <f ca="1">IFERROR(__xludf.DUMMYFUNCTION("""COMPUTED_VALUE"""),"Bosna a Hercegovina")</f>
        <v>Bosna a Hercegovina</v>
      </c>
      <c r="Z19" s="14" t="str">
        <f ca="1">IFERROR(__xludf.DUMMYFUNCTION("""COMPUTED_VALUE"""),"บอสเนียและเฮอร์เซโกวีนา")</f>
        <v>บอสเนียและเฮอร์เซโกวีนา</v>
      </c>
      <c r="AA19" s="14" t="str">
        <f ca="1">IFERROR(__xludf.DUMMYFUNCTION("""COMPUTED_VALUE"""),"Bosna Hersek")</f>
        <v>Bosna Hersek</v>
      </c>
      <c r="AB19" s="14" t="str">
        <f ca="1">IFERROR(__xludf.DUMMYFUNCTION("""COMPUTED_VALUE"""),"BOSNA HERSEK")</f>
        <v>BOSNA HERSEK</v>
      </c>
      <c r="AC19" s="14" t="str">
        <f ca="1">IFERROR(__xludf.DUMMYFUNCTION("""COMPUTED_VALUE"""),"Боснія і Герцеговина")</f>
        <v>Боснія і Герцеговина</v>
      </c>
      <c r="AD19" s="14" t="str">
        <f ca="1">IFERROR(__xludf.DUMMYFUNCTION("""COMPUTED_VALUE"""),"Bosna và Hercegovina")</f>
        <v>Bosna và Hercegovina</v>
      </c>
      <c r="AE19" s="14" t="str">
        <f ca="1">IFERROR(__xludf.DUMMYFUNCTION("""COMPUTED_VALUE"""),"Босния және Герцеговина")</f>
        <v>Босния және Герцеговина</v>
      </c>
      <c r="AF19" s="14"/>
    </row>
    <row r="20" spans="1:32" ht="15.75" customHeight="1" x14ac:dyDescent="0.15">
      <c r="A20" s="14" t="str">
        <f ca="1">IFERROR(__xludf.DUMMYFUNCTION("""COMPUTED_VALUE"""),"BB")</f>
        <v>BB</v>
      </c>
      <c r="B20" s="14" t="str">
        <f ca="1">IFERROR(__xludf.DUMMYFUNCTION("""COMPUTED_VALUE"""),"Barbados")</f>
        <v>Barbados</v>
      </c>
      <c r="C20" s="14" t="str">
        <f ca="1">IFERROR(__xludf.DUMMYFUNCTION("""COMPUTED_VALUE"""),"بربادوس")</f>
        <v>بربادوس</v>
      </c>
      <c r="D20" s="14" t="str">
        <f ca="1">IFERROR(__xludf.DUMMYFUNCTION("""COMPUTED_VALUE"""),"Барбадос")</f>
        <v>Барбадос</v>
      </c>
      <c r="E20" s="14" t="str">
        <f ca="1">IFERROR(__xludf.DUMMYFUNCTION("""COMPUTED_VALUE"""),"Barbados")</f>
        <v>Barbados</v>
      </c>
      <c r="F20" s="14" t="str">
        <f ca="1">IFERROR(__xludf.DUMMYFUNCTION("""COMPUTED_VALUE"""),"Барбадас")</f>
        <v>Барбадас</v>
      </c>
      <c r="G20" s="14" t="str">
        <f ca="1">IFERROR(__xludf.DUMMYFUNCTION("""COMPUTED_VALUE"""),"Barbados")</f>
        <v>Barbados</v>
      </c>
      <c r="H20" s="14" t="str">
        <f ca="1">IFERROR(__xludf.DUMMYFUNCTION("""COMPUTED_VALUE"""),"Barbados")</f>
        <v>Barbados</v>
      </c>
      <c r="I20" s="14" t="str">
        <f ca="1">IFERROR(__xludf.DUMMYFUNCTION("""COMPUTED_VALUE"""),"Barbados")</f>
        <v>Barbados</v>
      </c>
      <c r="J20" s="14" t="str">
        <f ca="1">IFERROR(__xludf.DUMMYFUNCTION("""COMPUTED_VALUE"""),"Barbados")</f>
        <v>Barbados</v>
      </c>
      <c r="K20" s="14" t="str">
        <f ca="1">IFERROR(__xludf.DUMMYFUNCTION("""COMPUTED_VALUE"""),"Μπαρμπάντος")</f>
        <v>Μπαρμπάντος</v>
      </c>
      <c r="L20" s="14" t="str">
        <f ca="1">IFERROR(__xludf.DUMMYFUNCTION("""COMPUTED_VALUE"""),"ΜΠΑΡΜΠΑΝΤΟΣ")</f>
        <v>ΜΠΑΡΜΠΑΝΤΟΣ</v>
      </c>
      <c r="M20" s="14" t="str">
        <f ca="1">IFERROR(__xludf.DUMMYFUNCTION("""COMPUTED_VALUE"""),"Barbados")</f>
        <v>Barbados</v>
      </c>
      <c r="N20" s="14" t="str">
        <f ca="1">IFERROR(__xludf.DUMMYFUNCTION("""COMPUTED_VALUE"""),"Barbados")</f>
        <v>Barbados</v>
      </c>
      <c r="O20" s="14" t="str">
        <f ca="1">IFERROR(__xludf.DUMMYFUNCTION("""COMPUTED_VALUE"""),"Barbados")</f>
        <v>Barbados</v>
      </c>
      <c r="P20" s="14" t="str">
        <f ca="1">IFERROR(__xludf.DUMMYFUNCTION("""COMPUTED_VALUE"""),"Barbados")</f>
        <v>Barbados</v>
      </c>
      <c r="Q20" s="14" t="str">
        <f ca="1">IFERROR(__xludf.DUMMYFUNCTION("""COMPUTED_VALUE"""),"바베이도스")</f>
        <v>바베이도스</v>
      </c>
      <c r="R20" s="14" t="str">
        <f ca="1">IFERROR(__xludf.DUMMYFUNCTION("""COMPUTED_VALUE"""),"Barbados")</f>
        <v>Barbados</v>
      </c>
      <c r="S20" s="14" t="str">
        <f ca="1">IFERROR(__xludf.DUMMYFUNCTION("""COMPUTED_VALUE"""),"Barbados")</f>
        <v>Barbados</v>
      </c>
      <c r="T20" s="14" t="str">
        <f ca="1">IFERROR(__xludf.DUMMYFUNCTION("""COMPUTED_VALUE"""),"Barbados")</f>
        <v>Barbados</v>
      </c>
      <c r="U20" s="14" t="str">
        <f ca="1">IFERROR(__xludf.DUMMYFUNCTION("""COMPUTED_VALUE"""),"Barbados")</f>
        <v>Barbados</v>
      </c>
      <c r="V20" s="14" t="str">
        <f ca="1">IFERROR(__xludf.DUMMYFUNCTION("""COMPUTED_VALUE"""),"Барбадос")</f>
        <v>Барбадос</v>
      </c>
      <c r="W20" s="14" t="str">
        <f ca="1">IFERROR(__xludf.DUMMYFUNCTION("""COMPUTED_VALUE"""),"Barbados")</f>
        <v>Barbados</v>
      </c>
      <c r="X20" s="14" t="str">
        <f ca="1">IFERROR(__xludf.DUMMYFUNCTION("""COMPUTED_VALUE"""),"Barbados")</f>
        <v>Barbados</v>
      </c>
      <c r="Y20" s="14" t="str">
        <f ca="1">IFERROR(__xludf.DUMMYFUNCTION("""COMPUTED_VALUE"""),"Barbados")</f>
        <v>Barbados</v>
      </c>
      <c r="Z20" s="14" t="str">
        <f ca="1">IFERROR(__xludf.DUMMYFUNCTION("""COMPUTED_VALUE"""),"บาร์เบโดส")</f>
        <v>บาร์เบโดส</v>
      </c>
      <c r="AA20" s="14" t="str">
        <f ca="1">IFERROR(__xludf.DUMMYFUNCTION("""COMPUTED_VALUE"""),"Barbados")</f>
        <v>Barbados</v>
      </c>
      <c r="AB20" s="14" t="str">
        <f ca="1">IFERROR(__xludf.DUMMYFUNCTION("""COMPUTED_VALUE"""),"BARBADOS")</f>
        <v>BARBADOS</v>
      </c>
      <c r="AC20" s="14" t="str">
        <f ca="1">IFERROR(__xludf.DUMMYFUNCTION("""COMPUTED_VALUE"""),"Барбадос")</f>
        <v>Барбадос</v>
      </c>
      <c r="AD20" s="14" t="str">
        <f ca="1">IFERROR(__xludf.DUMMYFUNCTION("""COMPUTED_VALUE"""),"Barbados")</f>
        <v>Barbados</v>
      </c>
      <c r="AE20" s="14" t="str">
        <f ca="1">IFERROR(__xludf.DUMMYFUNCTION("""COMPUTED_VALUE"""),"Барбадос")</f>
        <v>Барбадос</v>
      </c>
      <c r="AF20" s="14"/>
    </row>
    <row r="21" spans="1:32" ht="15.75" customHeight="1" x14ac:dyDescent="0.15">
      <c r="A21" s="14" t="str">
        <f ca="1">IFERROR(__xludf.DUMMYFUNCTION("""COMPUTED_VALUE"""),"BD")</f>
        <v>BD</v>
      </c>
      <c r="B21" s="14" t="str">
        <f ca="1">IFERROR(__xludf.DUMMYFUNCTION("""COMPUTED_VALUE"""),"Bangladesh")</f>
        <v>Bangladesh</v>
      </c>
      <c r="C21" s="14" t="str">
        <f ca="1">IFERROR(__xludf.DUMMYFUNCTION("""COMPUTED_VALUE"""),"بنجلاديش")</f>
        <v>بنجلاديش</v>
      </c>
      <c r="D21" s="14" t="str">
        <f ca="1">IFERROR(__xludf.DUMMYFUNCTION("""COMPUTED_VALUE"""),"Бангладеш")</f>
        <v>Бангладеш</v>
      </c>
      <c r="E21" s="14" t="str">
        <f ca="1">IFERROR(__xludf.DUMMYFUNCTION("""COMPUTED_VALUE"""),"Bangladesh")</f>
        <v>Bangladesh</v>
      </c>
      <c r="F21" s="14" t="str">
        <f ca="1">IFERROR(__xludf.DUMMYFUNCTION("""COMPUTED_VALUE"""),"Бангладэш")</f>
        <v>Бангладэш</v>
      </c>
      <c r="G21" s="14" t="str">
        <f ca="1">IFERROR(__xludf.DUMMYFUNCTION("""COMPUTED_VALUE"""),"Bangladéš")</f>
        <v>Bangladéš</v>
      </c>
      <c r="H21" s="14" t="str">
        <f ca="1">IFERROR(__xludf.DUMMYFUNCTION("""COMPUTED_VALUE"""),"Bangladesch")</f>
        <v>Bangladesch</v>
      </c>
      <c r="I21" s="14" t="str">
        <f ca="1">IFERROR(__xludf.DUMMYFUNCTION("""COMPUTED_VALUE"""),"Bangladesh")</f>
        <v>Bangladesh</v>
      </c>
      <c r="J21" s="14" t="str">
        <f ca="1">IFERROR(__xludf.DUMMYFUNCTION("""COMPUTED_VALUE"""),"Bangladesh")</f>
        <v>Bangladesh</v>
      </c>
      <c r="K21" s="14" t="str">
        <f ca="1">IFERROR(__xludf.DUMMYFUNCTION("""COMPUTED_VALUE"""),"Μπανγκλαντές")</f>
        <v>Μπανγκλαντές</v>
      </c>
      <c r="L21" s="14" t="str">
        <f ca="1">IFERROR(__xludf.DUMMYFUNCTION("""COMPUTED_VALUE"""),"ΜΠΑΝΓΚΛΑΝΤΕΣ")</f>
        <v>ΜΠΑΝΓΚΛΑΝΤΕΣ</v>
      </c>
      <c r="M21" s="14" t="str">
        <f ca="1">IFERROR(__xludf.DUMMYFUNCTION("""COMPUTED_VALUE"""),"Bangladeš")</f>
        <v>Bangladeš</v>
      </c>
      <c r="N21" s="14" t="str">
        <f ca="1">IFERROR(__xludf.DUMMYFUNCTION("""COMPUTED_VALUE"""),"Banglades")</f>
        <v>Banglades</v>
      </c>
      <c r="O21" s="14" t="str">
        <f ca="1">IFERROR(__xludf.DUMMYFUNCTION("""COMPUTED_VALUE"""),"Bangladesh")</f>
        <v>Bangladesh</v>
      </c>
      <c r="P21" s="14" t="str">
        <f ca="1">IFERROR(__xludf.DUMMYFUNCTION("""COMPUTED_VALUE"""),"Bangladesh")</f>
        <v>Bangladesh</v>
      </c>
      <c r="Q21" s="14" t="str">
        <f ca="1">IFERROR(__xludf.DUMMYFUNCTION("""COMPUTED_VALUE"""),"방글라데시")</f>
        <v>방글라데시</v>
      </c>
      <c r="R21" s="14" t="str">
        <f ca="1">IFERROR(__xludf.DUMMYFUNCTION("""COMPUTED_VALUE"""),"Bangladesz")</f>
        <v>Bangladesz</v>
      </c>
      <c r="S21" s="14" t="str">
        <f ca="1">IFERROR(__xludf.DUMMYFUNCTION("""COMPUTED_VALUE"""),"Bangladesh")</f>
        <v>Bangladesh</v>
      </c>
      <c r="T21" s="14" t="str">
        <f ca="1">IFERROR(__xludf.DUMMYFUNCTION("""COMPUTED_VALUE"""),"Bangladesh")</f>
        <v>Bangladesh</v>
      </c>
      <c r="U21" s="14" t="str">
        <f ca="1">IFERROR(__xludf.DUMMYFUNCTION("""COMPUTED_VALUE"""),"Bangladeš")</f>
        <v>Bangladeš</v>
      </c>
      <c r="V21" s="14" t="str">
        <f ca="1">IFERROR(__xludf.DUMMYFUNCTION("""COMPUTED_VALUE"""),"Бангладеш")</f>
        <v>Бангладеш</v>
      </c>
      <c r="W21" s="14" t="str">
        <f ca="1">IFERROR(__xludf.DUMMYFUNCTION("""COMPUTED_VALUE"""),"Bangladesh")</f>
        <v>Bangladesh</v>
      </c>
      <c r="X21" s="14" t="str">
        <f ca="1">IFERROR(__xludf.DUMMYFUNCTION("""COMPUTED_VALUE"""),"Bangladeš")</f>
        <v>Bangladeš</v>
      </c>
      <c r="Y21" s="14" t="str">
        <f ca="1">IFERROR(__xludf.DUMMYFUNCTION("""COMPUTED_VALUE"""),"Bangladéš")</f>
        <v>Bangladéš</v>
      </c>
      <c r="Z21" s="14" t="str">
        <f ca="1">IFERROR(__xludf.DUMMYFUNCTION("""COMPUTED_VALUE"""),"บังกลาเทศ")</f>
        <v>บังกลาเทศ</v>
      </c>
      <c r="AA21" s="14" t="str">
        <f ca="1">IFERROR(__xludf.DUMMYFUNCTION("""COMPUTED_VALUE"""),"Bangladeş")</f>
        <v>Bangladeş</v>
      </c>
      <c r="AB21" s="14" t="str">
        <f ca="1">IFERROR(__xludf.DUMMYFUNCTION("""COMPUTED_VALUE"""),"BANGLADEŞ")</f>
        <v>BANGLADEŞ</v>
      </c>
      <c r="AC21" s="14" t="str">
        <f ca="1">IFERROR(__xludf.DUMMYFUNCTION("""COMPUTED_VALUE"""),"Бангладеш")</f>
        <v>Бангладеш</v>
      </c>
      <c r="AD21" s="14" t="str">
        <f ca="1">IFERROR(__xludf.DUMMYFUNCTION("""COMPUTED_VALUE"""),"Bangladesh")</f>
        <v>Bangladesh</v>
      </c>
      <c r="AE21" s="14" t="str">
        <f ca="1">IFERROR(__xludf.DUMMYFUNCTION("""COMPUTED_VALUE"""),"Бангладеш")</f>
        <v>Бангладеш</v>
      </c>
      <c r="AF21" s="14"/>
    </row>
    <row r="22" spans="1:32" ht="15.75" customHeight="1" x14ac:dyDescent="0.15">
      <c r="A22" s="14" t="str">
        <f ca="1">IFERROR(__xludf.DUMMYFUNCTION("""COMPUTED_VALUE"""),"BE")</f>
        <v>BE</v>
      </c>
      <c r="B22" s="14" t="str">
        <f ca="1">IFERROR(__xludf.DUMMYFUNCTION("""COMPUTED_VALUE"""),"Belgium")</f>
        <v>Belgium</v>
      </c>
      <c r="C22" s="14" t="str">
        <f ca="1">IFERROR(__xludf.DUMMYFUNCTION("""COMPUTED_VALUE"""),"بلجيكا")</f>
        <v>بلجيكا</v>
      </c>
      <c r="D22" s="14" t="str">
        <f ca="1">IFERROR(__xludf.DUMMYFUNCTION("""COMPUTED_VALUE"""),"Белгия")</f>
        <v>Белгия</v>
      </c>
      <c r="E22" s="14" t="str">
        <f ca="1">IFERROR(__xludf.DUMMYFUNCTION("""COMPUTED_VALUE"""),"Bélgica")</f>
        <v>Bélgica</v>
      </c>
      <c r="F22" s="14" t="str">
        <f ca="1">IFERROR(__xludf.DUMMYFUNCTION("""COMPUTED_VALUE"""),"Бельгія")</f>
        <v>Бельгія</v>
      </c>
      <c r="G22" s="14" t="str">
        <f ca="1">IFERROR(__xludf.DUMMYFUNCTION("""COMPUTED_VALUE"""),"Belgie")</f>
        <v>Belgie</v>
      </c>
      <c r="H22" s="14" t="str">
        <f ca="1">IFERROR(__xludf.DUMMYFUNCTION("""COMPUTED_VALUE"""),"Belgien")</f>
        <v>Belgien</v>
      </c>
      <c r="I22" s="14" t="str">
        <f ca="1">IFERROR(__xludf.DUMMYFUNCTION("""COMPUTED_VALUE"""),"Bélgica")</f>
        <v>Bélgica</v>
      </c>
      <c r="J22" s="14" t="str">
        <f ca="1">IFERROR(__xludf.DUMMYFUNCTION("""COMPUTED_VALUE"""),"Belgia")</f>
        <v>Belgia</v>
      </c>
      <c r="K22" s="14" t="str">
        <f ca="1">IFERROR(__xludf.DUMMYFUNCTION("""COMPUTED_VALUE"""),"Βέλγιο")</f>
        <v>Βέλγιο</v>
      </c>
      <c r="L22" s="14" t="str">
        <f ca="1">IFERROR(__xludf.DUMMYFUNCTION("""COMPUTED_VALUE"""),"ΒΕΛΓΙΟ")</f>
        <v>ΒΕΛΓΙΟ</v>
      </c>
      <c r="M22" s="14" t="str">
        <f ca="1">IFERROR(__xludf.DUMMYFUNCTION("""COMPUTED_VALUE"""),"Belgija")</f>
        <v>Belgija</v>
      </c>
      <c r="N22" s="14" t="str">
        <f ca="1">IFERROR(__xludf.DUMMYFUNCTION("""COMPUTED_VALUE"""),"Belgium")</f>
        <v>Belgium</v>
      </c>
      <c r="O22" s="14" t="str">
        <f ca="1">IFERROR(__xludf.DUMMYFUNCTION("""COMPUTED_VALUE"""),"Belgia")</f>
        <v>Belgia</v>
      </c>
      <c r="P22" s="14" t="str">
        <f ca="1">IFERROR(__xludf.DUMMYFUNCTION("""COMPUTED_VALUE"""),"Belgio")</f>
        <v>Belgio</v>
      </c>
      <c r="Q22" s="14" t="str">
        <f ca="1">IFERROR(__xludf.DUMMYFUNCTION("""COMPUTED_VALUE"""),"벨기에")</f>
        <v>벨기에</v>
      </c>
      <c r="R22" s="14" t="str">
        <f ca="1">IFERROR(__xludf.DUMMYFUNCTION("""COMPUTED_VALUE"""),"Belgia")</f>
        <v>Belgia</v>
      </c>
      <c r="S22" s="14" t="str">
        <f ca="1">IFERROR(__xludf.DUMMYFUNCTION("""COMPUTED_VALUE"""),"Bélgica")</f>
        <v>Bélgica</v>
      </c>
      <c r="T22" s="14" t="str">
        <f ca="1">IFERROR(__xludf.DUMMYFUNCTION("""COMPUTED_VALUE"""),"Belgia")</f>
        <v>Belgia</v>
      </c>
      <c r="U22" s="14" t="str">
        <f ca="1">IFERROR(__xludf.DUMMYFUNCTION("""COMPUTED_VALUE"""),"Belgija")</f>
        <v>Belgija</v>
      </c>
      <c r="V22" s="14" t="str">
        <f ca="1">IFERROR(__xludf.DUMMYFUNCTION("""COMPUTED_VALUE"""),"Бельгия")</f>
        <v>Бельгия</v>
      </c>
      <c r="W22" s="14" t="str">
        <f ca="1">IFERROR(__xludf.DUMMYFUNCTION("""COMPUTED_VALUE"""),"Belgien")</f>
        <v>Belgien</v>
      </c>
      <c r="X22" s="14" t="str">
        <f ca="1">IFERROR(__xludf.DUMMYFUNCTION("""COMPUTED_VALUE"""),"Belgija")</f>
        <v>Belgija</v>
      </c>
      <c r="Y22" s="14" t="str">
        <f ca="1">IFERROR(__xludf.DUMMYFUNCTION("""COMPUTED_VALUE"""),"Belgicko")</f>
        <v>Belgicko</v>
      </c>
      <c r="Z22" s="14" t="str">
        <f ca="1">IFERROR(__xludf.DUMMYFUNCTION("""COMPUTED_VALUE"""),"เบลเยียม")</f>
        <v>เบลเยียม</v>
      </c>
      <c r="AA22" s="14" t="str">
        <f ca="1">IFERROR(__xludf.DUMMYFUNCTION("""COMPUTED_VALUE"""),"Belçika")</f>
        <v>Belçika</v>
      </c>
      <c r="AB22" s="14" t="str">
        <f ca="1">IFERROR(__xludf.DUMMYFUNCTION("""COMPUTED_VALUE"""),"BELÇİKA")</f>
        <v>BELÇİKA</v>
      </c>
      <c r="AC22" s="14" t="str">
        <f ca="1">IFERROR(__xludf.DUMMYFUNCTION("""COMPUTED_VALUE"""),"Бельгія")</f>
        <v>Бельгія</v>
      </c>
      <c r="AD22" s="14" t="str">
        <f ca="1">IFERROR(__xludf.DUMMYFUNCTION("""COMPUTED_VALUE"""),"Bỉ")</f>
        <v>Bỉ</v>
      </c>
      <c r="AE22" s="14" t="str">
        <f ca="1">IFERROR(__xludf.DUMMYFUNCTION("""COMPUTED_VALUE"""),"Бельгия")</f>
        <v>Бельгия</v>
      </c>
      <c r="AF22" s="14"/>
    </row>
    <row r="23" spans="1:32" ht="15.75" customHeight="1" x14ac:dyDescent="0.15">
      <c r="A23" s="14" t="str">
        <f ca="1">IFERROR(__xludf.DUMMYFUNCTION("""COMPUTED_VALUE"""),"BF")</f>
        <v>BF</v>
      </c>
      <c r="B23" s="14" t="str">
        <f ca="1">IFERROR(__xludf.DUMMYFUNCTION("""COMPUTED_VALUE"""),"Burkina Faso")</f>
        <v>Burkina Faso</v>
      </c>
      <c r="C23" s="14" t="str">
        <f ca="1">IFERROR(__xludf.DUMMYFUNCTION("""COMPUTED_VALUE"""),"بوركينا فاسو")</f>
        <v>بوركينا فاسو</v>
      </c>
      <c r="D23" s="14" t="str">
        <f ca="1">IFERROR(__xludf.DUMMYFUNCTION("""COMPUTED_VALUE"""),"Буркина Фасо")</f>
        <v>Буркина Фасо</v>
      </c>
      <c r="E23" s="14" t="str">
        <f ca="1">IFERROR(__xludf.DUMMYFUNCTION("""COMPUTED_VALUE"""),"Burkina Faso")</f>
        <v>Burkina Faso</v>
      </c>
      <c r="F23" s="14" t="str">
        <f ca="1">IFERROR(__xludf.DUMMYFUNCTION("""COMPUTED_VALUE"""),"Буркіна-Фасо")</f>
        <v>Буркіна-Фасо</v>
      </c>
      <c r="G23" s="14" t="str">
        <f ca="1">IFERROR(__xludf.DUMMYFUNCTION("""COMPUTED_VALUE"""),"Burkina Faso")</f>
        <v>Burkina Faso</v>
      </c>
      <c r="H23" s="14" t="str">
        <f ca="1">IFERROR(__xludf.DUMMYFUNCTION("""COMPUTED_VALUE"""),"Burkina Faso")</f>
        <v>Burkina Faso</v>
      </c>
      <c r="I23" s="14" t="str">
        <f ca="1">IFERROR(__xludf.DUMMYFUNCTION("""COMPUTED_VALUE"""),"Burkina Faso")</f>
        <v>Burkina Faso</v>
      </c>
      <c r="J23" s="14" t="str">
        <f ca="1">IFERROR(__xludf.DUMMYFUNCTION("""COMPUTED_VALUE"""),"Burkina Faso")</f>
        <v>Burkina Faso</v>
      </c>
      <c r="K23" s="14" t="str">
        <f ca="1">IFERROR(__xludf.DUMMYFUNCTION("""COMPUTED_VALUE"""),"Μπουρκίνα Φάσο")</f>
        <v>Μπουρκίνα Φάσο</v>
      </c>
      <c r="L23" s="14" t="str">
        <f ca="1">IFERROR(__xludf.DUMMYFUNCTION("""COMPUTED_VALUE"""),"ΜΠΟΥΡΚΙΝΑ ΦΑΣΟ")</f>
        <v>ΜΠΟΥΡΚΙΝΑ ΦΑΣΟ</v>
      </c>
      <c r="M23" s="14" t="str">
        <f ca="1">IFERROR(__xludf.DUMMYFUNCTION("""COMPUTED_VALUE"""),"Burkina Faso")</f>
        <v>Burkina Faso</v>
      </c>
      <c r="N23" s="14" t="str">
        <f ca="1">IFERROR(__xludf.DUMMYFUNCTION("""COMPUTED_VALUE"""),"Burkina Faso")</f>
        <v>Burkina Faso</v>
      </c>
      <c r="O23" s="14" t="str">
        <f ca="1">IFERROR(__xludf.DUMMYFUNCTION("""COMPUTED_VALUE"""),"Burkina Faso")</f>
        <v>Burkina Faso</v>
      </c>
      <c r="P23" s="14" t="str">
        <f ca="1">IFERROR(__xludf.DUMMYFUNCTION("""COMPUTED_VALUE"""),"Burkina Faso")</f>
        <v>Burkina Faso</v>
      </c>
      <c r="Q23" s="14" t="str">
        <f ca="1">IFERROR(__xludf.DUMMYFUNCTION("""COMPUTED_VALUE"""),"부르키나파소")</f>
        <v>부르키나파소</v>
      </c>
      <c r="R23" s="14" t="str">
        <f ca="1">IFERROR(__xludf.DUMMYFUNCTION("""COMPUTED_VALUE"""),"Burkina Faso")</f>
        <v>Burkina Faso</v>
      </c>
      <c r="S23" s="14" t="str">
        <f ca="1">IFERROR(__xludf.DUMMYFUNCTION("""COMPUTED_VALUE"""),"Burkina Faso")</f>
        <v>Burkina Faso</v>
      </c>
      <c r="T23" s="14" t="str">
        <f ca="1">IFERROR(__xludf.DUMMYFUNCTION("""COMPUTED_VALUE"""),"Burkina Faso")</f>
        <v>Burkina Faso</v>
      </c>
      <c r="U23" s="14" t="str">
        <f ca="1">IFERROR(__xludf.DUMMYFUNCTION("""COMPUTED_VALUE"""),"Burkina Faso")</f>
        <v>Burkina Faso</v>
      </c>
      <c r="V23" s="14" t="str">
        <f ca="1">IFERROR(__xludf.DUMMYFUNCTION("""COMPUTED_VALUE"""),"Буркина-Фасо")</f>
        <v>Буркина-Фасо</v>
      </c>
      <c r="W23" s="14" t="str">
        <f ca="1">IFERROR(__xludf.DUMMYFUNCTION("""COMPUTED_VALUE"""),"Burkina Faso")</f>
        <v>Burkina Faso</v>
      </c>
      <c r="X23" s="14" t="str">
        <f ca="1">IFERROR(__xludf.DUMMYFUNCTION("""COMPUTED_VALUE"""),"Burkina Faso")</f>
        <v>Burkina Faso</v>
      </c>
      <c r="Y23" s="14" t="str">
        <f ca="1">IFERROR(__xludf.DUMMYFUNCTION("""COMPUTED_VALUE"""),"Burkina")</f>
        <v>Burkina</v>
      </c>
      <c r="Z23" s="14" t="str">
        <f ca="1">IFERROR(__xludf.DUMMYFUNCTION("""COMPUTED_VALUE"""),"บูร์กินาฟาโซ")</f>
        <v>บูร์กินาฟาโซ</v>
      </c>
      <c r="AA23" s="14" t="str">
        <f ca="1">IFERROR(__xludf.DUMMYFUNCTION("""COMPUTED_VALUE"""),"Burkina Faso")</f>
        <v>Burkina Faso</v>
      </c>
      <c r="AB23" s="14" t="str">
        <f ca="1">IFERROR(__xludf.DUMMYFUNCTION("""COMPUTED_VALUE"""),"BURKİNA FASO")</f>
        <v>BURKİNA FASO</v>
      </c>
      <c r="AC23" s="14" t="str">
        <f ca="1">IFERROR(__xludf.DUMMYFUNCTION("""COMPUTED_VALUE"""),"Буркіна-Фасо")</f>
        <v>Буркіна-Фасо</v>
      </c>
      <c r="AD23" s="14" t="str">
        <f ca="1">IFERROR(__xludf.DUMMYFUNCTION("""COMPUTED_VALUE"""),"Burkina Faso")</f>
        <v>Burkina Faso</v>
      </c>
      <c r="AE23" s="14" t="str">
        <f ca="1">IFERROR(__xludf.DUMMYFUNCTION("""COMPUTED_VALUE"""),"Буркина-Фасо")</f>
        <v>Буркина-Фасо</v>
      </c>
      <c r="AF23" s="14"/>
    </row>
    <row r="24" spans="1:32" ht="15.75" customHeight="1" x14ac:dyDescent="0.15">
      <c r="A24" s="14" t="str">
        <f ca="1">IFERROR(__xludf.DUMMYFUNCTION("""COMPUTED_VALUE"""),"BG")</f>
        <v>BG</v>
      </c>
      <c r="B24" s="14" t="str">
        <f ca="1">IFERROR(__xludf.DUMMYFUNCTION("""COMPUTED_VALUE"""),"Bulgaria")</f>
        <v>Bulgaria</v>
      </c>
      <c r="C24" s="14" t="str">
        <f ca="1">IFERROR(__xludf.DUMMYFUNCTION("""COMPUTED_VALUE"""),"بلغاريا")</f>
        <v>بلغاريا</v>
      </c>
      <c r="D24" s="14" t="str">
        <f ca="1">IFERROR(__xludf.DUMMYFUNCTION("""COMPUTED_VALUE"""),"България")</f>
        <v>България</v>
      </c>
      <c r="E24" s="14" t="str">
        <f ca="1">IFERROR(__xludf.DUMMYFUNCTION("""COMPUTED_VALUE"""),"Bulgária")</f>
        <v>Bulgária</v>
      </c>
      <c r="F24" s="14" t="str">
        <f ca="1">IFERROR(__xludf.DUMMYFUNCTION("""COMPUTED_VALUE"""),"Балгарыя")</f>
        <v>Балгарыя</v>
      </c>
      <c r="G24" s="14" t="str">
        <f ca="1">IFERROR(__xludf.DUMMYFUNCTION("""COMPUTED_VALUE"""),"Bulharsko")</f>
        <v>Bulharsko</v>
      </c>
      <c r="H24" s="14" t="str">
        <f ca="1">IFERROR(__xludf.DUMMYFUNCTION("""COMPUTED_VALUE"""),"Bulgarien")</f>
        <v>Bulgarien</v>
      </c>
      <c r="I24" s="14" t="str">
        <f ca="1">IFERROR(__xludf.DUMMYFUNCTION("""COMPUTED_VALUE"""),"Bulgaria")</f>
        <v>Bulgaria</v>
      </c>
      <c r="J24" s="14" t="str">
        <f ca="1">IFERROR(__xludf.DUMMYFUNCTION("""COMPUTED_VALUE"""),"Bulgaria")</f>
        <v>Bulgaria</v>
      </c>
      <c r="K24" s="14" t="str">
        <f ca="1">IFERROR(__xludf.DUMMYFUNCTION("""COMPUTED_VALUE"""),"Βουλγαρία")</f>
        <v>Βουλγαρία</v>
      </c>
      <c r="L24" s="14" t="str">
        <f ca="1">IFERROR(__xludf.DUMMYFUNCTION("""COMPUTED_VALUE"""),"ΒΟΥΛΓΑΡΙΑ")</f>
        <v>ΒΟΥΛΓΑΡΙΑ</v>
      </c>
      <c r="M24" s="14" t="str">
        <f ca="1">IFERROR(__xludf.DUMMYFUNCTION("""COMPUTED_VALUE"""),"Bugarska")</f>
        <v>Bugarska</v>
      </c>
      <c r="N24" s="14" t="str">
        <f ca="1">IFERROR(__xludf.DUMMYFUNCTION("""COMPUTED_VALUE"""),"Bulgária")</f>
        <v>Bulgária</v>
      </c>
      <c r="O24" s="14" t="str">
        <f ca="1">IFERROR(__xludf.DUMMYFUNCTION("""COMPUTED_VALUE"""),"Bulgaria")</f>
        <v>Bulgaria</v>
      </c>
      <c r="P24" s="14" t="str">
        <f ca="1">IFERROR(__xludf.DUMMYFUNCTION("""COMPUTED_VALUE"""),"Bulgaria")</f>
        <v>Bulgaria</v>
      </c>
      <c r="Q24" s="14" t="str">
        <f ca="1">IFERROR(__xludf.DUMMYFUNCTION("""COMPUTED_VALUE"""),"불가리아")</f>
        <v>불가리아</v>
      </c>
      <c r="R24" s="14" t="str">
        <f ca="1">IFERROR(__xludf.DUMMYFUNCTION("""COMPUTED_VALUE"""),"Bułgaria")</f>
        <v>Bułgaria</v>
      </c>
      <c r="S24" s="14" t="str">
        <f ca="1">IFERROR(__xludf.DUMMYFUNCTION("""COMPUTED_VALUE"""),"Bulgária")</f>
        <v>Bulgária</v>
      </c>
      <c r="T24" s="14" t="str">
        <f ca="1">IFERROR(__xludf.DUMMYFUNCTION("""COMPUTED_VALUE"""),"Bulgaria")</f>
        <v>Bulgaria</v>
      </c>
      <c r="U24" s="14" t="str">
        <f ca="1">IFERROR(__xludf.DUMMYFUNCTION("""COMPUTED_VALUE"""),"Bugarska")</f>
        <v>Bugarska</v>
      </c>
      <c r="V24" s="14" t="str">
        <f ca="1">IFERROR(__xludf.DUMMYFUNCTION("""COMPUTED_VALUE"""),"Болгария")</f>
        <v>Болгария</v>
      </c>
      <c r="W24" s="14" t="str">
        <f ca="1">IFERROR(__xludf.DUMMYFUNCTION("""COMPUTED_VALUE"""),"Bulgarien")</f>
        <v>Bulgarien</v>
      </c>
      <c r="X24" s="14" t="str">
        <f ca="1">IFERROR(__xludf.DUMMYFUNCTION("""COMPUTED_VALUE"""),"Bolgarija")</f>
        <v>Bolgarija</v>
      </c>
      <c r="Y24" s="14" t="str">
        <f ca="1">IFERROR(__xludf.DUMMYFUNCTION("""COMPUTED_VALUE"""),"Bulharsko")</f>
        <v>Bulharsko</v>
      </c>
      <c r="Z24" s="14" t="str">
        <f ca="1">IFERROR(__xludf.DUMMYFUNCTION("""COMPUTED_VALUE"""),"บัลแกเรีย")</f>
        <v>บัลแกเรีย</v>
      </c>
      <c r="AA24" s="14" t="str">
        <f ca="1">IFERROR(__xludf.DUMMYFUNCTION("""COMPUTED_VALUE"""),"Bulgaristan")</f>
        <v>Bulgaristan</v>
      </c>
      <c r="AB24" s="14" t="str">
        <f ca="1">IFERROR(__xludf.DUMMYFUNCTION("""COMPUTED_VALUE"""),"BULGARİSTAN")</f>
        <v>BULGARİSTAN</v>
      </c>
      <c r="AC24" s="14" t="str">
        <f ca="1">IFERROR(__xludf.DUMMYFUNCTION("""COMPUTED_VALUE"""),"Болгарія")</f>
        <v>Болгарія</v>
      </c>
      <c r="AD24" s="14" t="str">
        <f ca="1">IFERROR(__xludf.DUMMYFUNCTION("""COMPUTED_VALUE"""),"Bungari")</f>
        <v>Bungari</v>
      </c>
      <c r="AE24" s="14" t="str">
        <f ca="1">IFERROR(__xludf.DUMMYFUNCTION("""COMPUTED_VALUE"""),"Болгария")</f>
        <v>Болгария</v>
      </c>
      <c r="AF24" s="14"/>
    </row>
    <row r="25" spans="1:32" ht="15.75" customHeight="1" x14ac:dyDescent="0.15">
      <c r="A25" s="14" t="str">
        <f ca="1">IFERROR(__xludf.DUMMYFUNCTION("""COMPUTED_VALUE"""),"BH")</f>
        <v>BH</v>
      </c>
      <c r="B25" s="14" t="str">
        <f ca="1">IFERROR(__xludf.DUMMYFUNCTION("""COMPUTED_VALUE"""),"Bahrain")</f>
        <v>Bahrain</v>
      </c>
      <c r="C25" s="14" t="str">
        <f ca="1">IFERROR(__xludf.DUMMYFUNCTION("""COMPUTED_VALUE"""),"البحرين")</f>
        <v>البحرين</v>
      </c>
      <c r="D25" s="14" t="str">
        <f ca="1">IFERROR(__xludf.DUMMYFUNCTION("""COMPUTED_VALUE"""),"Бахрейн")</f>
        <v>Бахрейн</v>
      </c>
      <c r="E25" s="14" t="str">
        <f ca="1">IFERROR(__xludf.DUMMYFUNCTION("""COMPUTED_VALUE"""),"Bahrain")</f>
        <v>Bahrain</v>
      </c>
      <c r="F25" s="14" t="str">
        <f ca="1">IFERROR(__xludf.DUMMYFUNCTION("""COMPUTED_VALUE"""),"Бахрэйн")</f>
        <v>Бахрэйн</v>
      </c>
      <c r="G25" s="14" t="str">
        <f ca="1">IFERROR(__xludf.DUMMYFUNCTION("""COMPUTED_VALUE"""),"Bahrajn")</f>
        <v>Bahrajn</v>
      </c>
      <c r="H25" s="14" t="str">
        <f ca="1">IFERROR(__xludf.DUMMYFUNCTION("""COMPUTED_VALUE"""),"Bahrain")</f>
        <v>Bahrain</v>
      </c>
      <c r="I25" s="14" t="str">
        <f ca="1">IFERROR(__xludf.DUMMYFUNCTION("""COMPUTED_VALUE"""),"Bahrein")</f>
        <v>Bahrein</v>
      </c>
      <c r="J25" s="14" t="str">
        <f ca="1">IFERROR(__xludf.DUMMYFUNCTION("""COMPUTED_VALUE"""),"Bahrain")</f>
        <v>Bahrain</v>
      </c>
      <c r="K25" s="14" t="str">
        <f ca="1">IFERROR(__xludf.DUMMYFUNCTION("""COMPUTED_VALUE"""),"Μπαχρέιν")</f>
        <v>Μπαχρέιν</v>
      </c>
      <c r="L25" s="14" t="str">
        <f ca="1">IFERROR(__xludf.DUMMYFUNCTION("""COMPUTED_VALUE"""),"ΜΠΑΧΡΕΙΝ")</f>
        <v>ΜΠΑΧΡΕΙΝ</v>
      </c>
      <c r="M25" s="14" t="str">
        <f ca="1">IFERROR(__xludf.DUMMYFUNCTION("""COMPUTED_VALUE"""),"Bahrein")</f>
        <v>Bahrein</v>
      </c>
      <c r="N25" s="14" t="str">
        <f ca="1">IFERROR(__xludf.DUMMYFUNCTION("""COMPUTED_VALUE"""),"Bahrein")</f>
        <v>Bahrein</v>
      </c>
      <c r="O25" s="14" t="str">
        <f ca="1">IFERROR(__xludf.DUMMYFUNCTION("""COMPUTED_VALUE"""),"Bahrain")</f>
        <v>Bahrain</v>
      </c>
      <c r="P25" s="14" t="str">
        <f ca="1">IFERROR(__xludf.DUMMYFUNCTION("""COMPUTED_VALUE"""),"Bahrein")</f>
        <v>Bahrein</v>
      </c>
      <c r="Q25" s="14" t="str">
        <f ca="1">IFERROR(__xludf.DUMMYFUNCTION("""COMPUTED_VALUE"""),"바레인")</f>
        <v>바레인</v>
      </c>
      <c r="R25" s="14" t="str">
        <f ca="1">IFERROR(__xludf.DUMMYFUNCTION("""COMPUTED_VALUE"""),"Bahrajn")</f>
        <v>Bahrajn</v>
      </c>
      <c r="S25" s="14" t="str">
        <f ca="1">IFERROR(__xludf.DUMMYFUNCTION("""COMPUTED_VALUE"""),"Bahrain")</f>
        <v>Bahrain</v>
      </c>
      <c r="T25" s="14" t="str">
        <f ca="1">IFERROR(__xludf.DUMMYFUNCTION("""COMPUTED_VALUE"""),"Bahrain")</f>
        <v>Bahrain</v>
      </c>
      <c r="U25" s="14" t="str">
        <f ca="1">IFERROR(__xludf.DUMMYFUNCTION("""COMPUTED_VALUE"""),"Bahrein")</f>
        <v>Bahrein</v>
      </c>
      <c r="V25" s="14" t="str">
        <f ca="1">IFERROR(__xludf.DUMMYFUNCTION("""COMPUTED_VALUE"""),"Бахрейн")</f>
        <v>Бахрейн</v>
      </c>
      <c r="W25" s="14" t="str">
        <f ca="1">IFERROR(__xludf.DUMMYFUNCTION("""COMPUTED_VALUE"""),"Bahrain")</f>
        <v>Bahrain</v>
      </c>
      <c r="X25" s="14" t="str">
        <f ca="1">IFERROR(__xludf.DUMMYFUNCTION("""COMPUTED_VALUE"""),"Bahrajn")</f>
        <v>Bahrajn</v>
      </c>
      <c r="Y25" s="14" t="str">
        <f ca="1">IFERROR(__xludf.DUMMYFUNCTION("""COMPUTED_VALUE"""),"Bahrajn")</f>
        <v>Bahrajn</v>
      </c>
      <c r="Z25" s="14" t="str">
        <f ca="1">IFERROR(__xludf.DUMMYFUNCTION("""COMPUTED_VALUE"""),"บาห์เรน")</f>
        <v>บาห์เรน</v>
      </c>
      <c r="AA25" s="14" t="str">
        <f ca="1">IFERROR(__xludf.DUMMYFUNCTION("""COMPUTED_VALUE"""),"Bahreyn")</f>
        <v>Bahreyn</v>
      </c>
      <c r="AB25" s="14" t="str">
        <f ca="1">IFERROR(__xludf.DUMMYFUNCTION("""COMPUTED_VALUE"""),"BAHREYN")</f>
        <v>BAHREYN</v>
      </c>
      <c r="AC25" s="14" t="str">
        <f ca="1">IFERROR(__xludf.DUMMYFUNCTION("""COMPUTED_VALUE"""),"Бахрейн")</f>
        <v>Бахрейн</v>
      </c>
      <c r="AD25" s="14" t="str">
        <f ca="1">IFERROR(__xludf.DUMMYFUNCTION("""COMPUTED_VALUE"""),"Bahrain")</f>
        <v>Bahrain</v>
      </c>
      <c r="AE25" s="14" t="str">
        <f ca="1">IFERROR(__xludf.DUMMYFUNCTION("""COMPUTED_VALUE"""),"Бахрейн")</f>
        <v>Бахрейн</v>
      </c>
      <c r="AF25" s="14"/>
    </row>
    <row r="26" spans="1:32" ht="15.75" customHeight="1" x14ac:dyDescent="0.15">
      <c r="A26" s="14" t="str">
        <f ca="1">IFERROR(__xludf.DUMMYFUNCTION("""COMPUTED_VALUE"""),"BI")</f>
        <v>BI</v>
      </c>
      <c r="B26" s="14" t="str">
        <f ca="1">IFERROR(__xludf.DUMMYFUNCTION("""COMPUTED_VALUE"""),"Burundi")</f>
        <v>Burundi</v>
      </c>
      <c r="C26" s="14" t="str">
        <f ca="1">IFERROR(__xludf.DUMMYFUNCTION("""COMPUTED_VALUE"""),"بوروندي")</f>
        <v>بوروندي</v>
      </c>
      <c r="D26" s="14" t="str">
        <f ca="1">IFERROR(__xludf.DUMMYFUNCTION("""COMPUTED_VALUE"""),"Бурунди")</f>
        <v>Бурунди</v>
      </c>
      <c r="E26" s="14" t="str">
        <f ca="1">IFERROR(__xludf.DUMMYFUNCTION("""COMPUTED_VALUE"""),"Burundi")</f>
        <v>Burundi</v>
      </c>
      <c r="F26" s="14" t="str">
        <f ca="1">IFERROR(__xludf.DUMMYFUNCTION("""COMPUTED_VALUE"""),"Бурундзі")</f>
        <v>Бурундзі</v>
      </c>
      <c r="G26" s="14" t="str">
        <f ca="1">IFERROR(__xludf.DUMMYFUNCTION("""COMPUTED_VALUE"""),"Burundi")</f>
        <v>Burundi</v>
      </c>
      <c r="H26" s="14" t="str">
        <f ca="1">IFERROR(__xludf.DUMMYFUNCTION("""COMPUTED_VALUE"""),"Burundi")</f>
        <v>Burundi</v>
      </c>
      <c r="I26" s="14" t="str">
        <f ca="1">IFERROR(__xludf.DUMMYFUNCTION("""COMPUTED_VALUE"""),"Burundi")</f>
        <v>Burundi</v>
      </c>
      <c r="J26" s="14" t="str">
        <f ca="1">IFERROR(__xludf.DUMMYFUNCTION("""COMPUTED_VALUE"""),"Burundi")</f>
        <v>Burundi</v>
      </c>
      <c r="K26" s="14" t="str">
        <f ca="1">IFERROR(__xludf.DUMMYFUNCTION("""COMPUTED_VALUE"""),"Μπουρούντι")</f>
        <v>Μπουρούντι</v>
      </c>
      <c r="L26" s="14" t="str">
        <f ca="1">IFERROR(__xludf.DUMMYFUNCTION("""COMPUTED_VALUE"""),"ΜΠΟΥΡΟΥΝΤΙ")</f>
        <v>ΜΠΟΥΡΟΥΝΤΙ</v>
      </c>
      <c r="M26" s="14" t="str">
        <f ca="1">IFERROR(__xludf.DUMMYFUNCTION("""COMPUTED_VALUE"""),"Burundi")</f>
        <v>Burundi</v>
      </c>
      <c r="N26" s="14" t="str">
        <f ca="1">IFERROR(__xludf.DUMMYFUNCTION("""COMPUTED_VALUE"""),"Burundi")</f>
        <v>Burundi</v>
      </c>
      <c r="O26" s="14" t="str">
        <f ca="1">IFERROR(__xludf.DUMMYFUNCTION("""COMPUTED_VALUE"""),"Burundi")</f>
        <v>Burundi</v>
      </c>
      <c r="P26" s="14" t="str">
        <f ca="1">IFERROR(__xludf.DUMMYFUNCTION("""COMPUTED_VALUE"""),"Burundi")</f>
        <v>Burundi</v>
      </c>
      <c r="Q26" s="14" t="str">
        <f ca="1">IFERROR(__xludf.DUMMYFUNCTION("""COMPUTED_VALUE"""),"부룬디")</f>
        <v>부룬디</v>
      </c>
      <c r="R26" s="14" t="str">
        <f ca="1">IFERROR(__xludf.DUMMYFUNCTION("""COMPUTED_VALUE"""),"Burundi")</f>
        <v>Burundi</v>
      </c>
      <c r="S26" s="14" t="str">
        <f ca="1">IFERROR(__xludf.DUMMYFUNCTION("""COMPUTED_VALUE"""),"Burundi")</f>
        <v>Burundi</v>
      </c>
      <c r="T26" s="14" t="str">
        <f ca="1">IFERROR(__xludf.DUMMYFUNCTION("""COMPUTED_VALUE"""),"Burundi")</f>
        <v>Burundi</v>
      </c>
      <c r="U26" s="14" t="str">
        <f ca="1">IFERROR(__xludf.DUMMYFUNCTION("""COMPUTED_VALUE"""),"Burundi")</f>
        <v>Burundi</v>
      </c>
      <c r="V26" s="14" t="str">
        <f ca="1">IFERROR(__xludf.DUMMYFUNCTION("""COMPUTED_VALUE"""),"Бурунди")</f>
        <v>Бурунди</v>
      </c>
      <c r="W26" s="14" t="str">
        <f ca="1">IFERROR(__xludf.DUMMYFUNCTION("""COMPUTED_VALUE"""),"Burundi")</f>
        <v>Burundi</v>
      </c>
      <c r="X26" s="14" t="str">
        <f ca="1">IFERROR(__xludf.DUMMYFUNCTION("""COMPUTED_VALUE"""),"Burundi")</f>
        <v>Burundi</v>
      </c>
      <c r="Y26" s="14" t="str">
        <f ca="1">IFERROR(__xludf.DUMMYFUNCTION("""COMPUTED_VALUE"""),"Burundi")</f>
        <v>Burundi</v>
      </c>
      <c r="Z26" s="14" t="str">
        <f ca="1">IFERROR(__xludf.DUMMYFUNCTION("""COMPUTED_VALUE"""),"บุรุนดี")</f>
        <v>บุรุนดี</v>
      </c>
      <c r="AA26" s="14" t="str">
        <f ca="1">IFERROR(__xludf.DUMMYFUNCTION("""COMPUTED_VALUE"""),"Burundi")</f>
        <v>Burundi</v>
      </c>
      <c r="AB26" s="14" t="str">
        <f ca="1">IFERROR(__xludf.DUMMYFUNCTION("""COMPUTED_VALUE"""),"BURUNDİ")</f>
        <v>BURUNDİ</v>
      </c>
      <c r="AC26" s="14" t="str">
        <f ca="1">IFERROR(__xludf.DUMMYFUNCTION("""COMPUTED_VALUE"""),"Бурунді")</f>
        <v>Бурунді</v>
      </c>
      <c r="AD26" s="14" t="str">
        <f ca="1">IFERROR(__xludf.DUMMYFUNCTION("""COMPUTED_VALUE"""),"Burundi")</f>
        <v>Burundi</v>
      </c>
      <c r="AE26" s="14" t="str">
        <f ca="1">IFERROR(__xludf.DUMMYFUNCTION("""COMPUTED_VALUE"""),"Бурунди")</f>
        <v>Бурунди</v>
      </c>
      <c r="AF26" s="14"/>
    </row>
    <row r="27" spans="1:32" ht="15.75" customHeight="1" x14ac:dyDescent="0.15">
      <c r="A27" s="14" t="str">
        <f ca="1">IFERROR(__xludf.DUMMYFUNCTION("""COMPUTED_VALUE"""),"BJ")</f>
        <v>BJ</v>
      </c>
      <c r="B27" s="14" t="str">
        <f ca="1">IFERROR(__xludf.DUMMYFUNCTION("""COMPUTED_VALUE"""),"Benin")</f>
        <v>Benin</v>
      </c>
      <c r="C27" s="14" t="str">
        <f ca="1">IFERROR(__xludf.DUMMYFUNCTION("""COMPUTED_VALUE"""),"بنين")</f>
        <v>بنين</v>
      </c>
      <c r="D27" s="14" t="str">
        <f ca="1">IFERROR(__xludf.DUMMYFUNCTION("""COMPUTED_VALUE"""),"Бенин")</f>
        <v>Бенин</v>
      </c>
      <c r="E27" s="14" t="str">
        <f ca="1">IFERROR(__xludf.DUMMYFUNCTION("""COMPUTED_VALUE"""),"Benim")</f>
        <v>Benim</v>
      </c>
      <c r="F27" s="14" t="str">
        <f ca="1">IFERROR(__xludf.DUMMYFUNCTION("""COMPUTED_VALUE"""),"Бенін")</f>
        <v>Бенін</v>
      </c>
      <c r="G27" s="14" t="str">
        <f ca="1">IFERROR(__xludf.DUMMYFUNCTION("""COMPUTED_VALUE"""),"Benin")</f>
        <v>Benin</v>
      </c>
      <c r="H27" s="14" t="str">
        <f ca="1">IFERROR(__xludf.DUMMYFUNCTION("""COMPUTED_VALUE"""),"Benin")</f>
        <v>Benin</v>
      </c>
      <c r="I27" s="14" t="str">
        <f ca="1">IFERROR(__xludf.DUMMYFUNCTION("""COMPUTED_VALUE"""),"Benin")</f>
        <v>Benin</v>
      </c>
      <c r="J27" s="14" t="str">
        <f ca="1">IFERROR(__xludf.DUMMYFUNCTION("""COMPUTED_VALUE"""),"Benin")</f>
        <v>Benin</v>
      </c>
      <c r="K27" s="14" t="str">
        <f ca="1">IFERROR(__xludf.DUMMYFUNCTION("""COMPUTED_VALUE"""),"Μπενίν")</f>
        <v>Μπενίν</v>
      </c>
      <c r="L27" s="14" t="str">
        <f ca="1">IFERROR(__xludf.DUMMYFUNCTION("""COMPUTED_VALUE"""),"ΜΠΕΝΙΝ")</f>
        <v>ΜΠΕΝΙΝ</v>
      </c>
      <c r="M27" s="14" t="str">
        <f ca="1">IFERROR(__xludf.DUMMYFUNCTION("""COMPUTED_VALUE"""),"Benin")</f>
        <v>Benin</v>
      </c>
      <c r="N27" s="14" t="str">
        <f ca="1">IFERROR(__xludf.DUMMYFUNCTION("""COMPUTED_VALUE"""),"Benin")</f>
        <v>Benin</v>
      </c>
      <c r="O27" s="14" t="str">
        <f ca="1">IFERROR(__xludf.DUMMYFUNCTION("""COMPUTED_VALUE"""),"Benin")</f>
        <v>Benin</v>
      </c>
      <c r="P27" s="14" t="str">
        <f ca="1">IFERROR(__xludf.DUMMYFUNCTION("""COMPUTED_VALUE"""),"Benin")</f>
        <v>Benin</v>
      </c>
      <c r="Q27" s="14" t="str">
        <f ca="1">IFERROR(__xludf.DUMMYFUNCTION("""COMPUTED_VALUE"""),"베냉")</f>
        <v>베냉</v>
      </c>
      <c r="R27" s="14" t="str">
        <f ca="1">IFERROR(__xludf.DUMMYFUNCTION("""COMPUTED_VALUE"""),"Benin")</f>
        <v>Benin</v>
      </c>
      <c r="S27" s="14" t="str">
        <f ca="1">IFERROR(__xludf.DUMMYFUNCTION("""COMPUTED_VALUE"""),"Benim")</f>
        <v>Benim</v>
      </c>
      <c r="T27" s="14" t="str">
        <f ca="1">IFERROR(__xludf.DUMMYFUNCTION("""COMPUTED_VALUE"""),"Benin")</f>
        <v>Benin</v>
      </c>
      <c r="U27" s="14" t="str">
        <f ca="1">IFERROR(__xludf.DUMMYFUNCTION("""COMPUTED_VALUE"""),"Benin")</f>
        <v>Benin</v>
      </c>
      <c r="V27" s="14" t="str">
        <f ca="1">IFERROR(__xludf.DUMMYFUNCTION("""COMPUTED_VALUE"""),"Бенин")</f>
        <v>Бенин</v>
      </c>
      <c r="W27" s="14" t="str">
        <f ca="1">IFERROR(__xludf.DUMMYFUNCTION("""COMPUTED_VALUE"""),"Benin")</f>
        <v>Benin</v>
      </c>
      <c r="X27" s="14" t="str">
        <f ca="1">IFERROR(__xludf.DUMMYFUNCTION("""COMPUTED_VALUE"""),"Benin")</f>
        <v>Benin</v>
      </c>
      <c r="Y27" s="14" t="str">
        <f ca="1">IFERROR(__xludf.DUMMYFUNCTION("""COMPUTED_VALUE"""),"Benin")</f>
        <v>Benin</v>
      </c>
      <c r="Z27" s="14" t="str">
        <f ca="1">IFERROR(__xludf.DUMMYFUNCTION("""COMPUTED_VALUE"""),"เบนิน")</f>
        <v>เบนิน</v>
      </c>
      <c r="AA27" s="14" t="str">
        <f ca="1">IFERROR(__xludf.DUMMYFUNCTION("""COMPUTED_VALUE"""),"Benin")</f>
        <v>Benin</v>
      </c>
      <c r="AB27" s="14" t="str">
        <f ca="1">IFERROR(__xludf.DUMMYFUNCTION("""COMPUTED_VALUE"""),"BENİN")</f>
        <v>BENİN</v>
      </c>
      <c r="AC27" s="14" t="str">
        <f ca="1">IFERROR(__xludf.DUMMYFUNCTION("""COMPUTED_VALUE"""),"Бенін")</f>
        <v>Бенін</v>
      </c>
      <c r="AD27" s="14" t="str">
        <f ca="1">IFERROR(__xludf.DUMMYFUNCTION("""COMPUTED_VALUE"""),"Bénin")</f>
        <v>Bénin</v>
      </c>
      <c r="AE27" s="14" t="str">
        <f ca="1">IFERROR(__xludf.DUMMYFUNCTION("""COMPUTED_VALUE"""),"Бенин")</f>
        <v>Бенин</v>
      </c>
      <c r="AF27" s="14"/>
    </row>
    <row r="28" spans="1:32" ht="15.75" customHeight="1" x14ac:dyDescent="0.15">
      <c r="A28" s="14" t="str">
        <f ca="1">IFERROR(__xludf.DUMMYFUNCTION("""COMPUTED_VALUE"""),"BL")</f>
        <v>BL</v>
      </c>
      <c r="B28" s="14" t="str">
        <f ca="1">IFERROR(__xludf.DUMMYFUNCTION("""COMPUTED_VALUE"""),"Saint Barthélemy")</f>
        <v>Saint Barthélemy</v>
      </c>
      <c r="C28" s="14"/>
      <c r="D28" s="14" t="str">
        <f ca="1">IFERROR(__xludf.DUMMYFUNCTION("""COMPUTED_VALUE"""),"Сен Бартелми")</f>
        <v>Сен Бартелми</v>
      </c>
      <c r="E28" s="14" t="str">
        <f ca="1">IFERROR(__xludf.DUMMYFUNCTION("""COMPUTED_VALUE"""),"São Bartolomeu")</f>
        <v>São Bartolomeu</v>
      </c>
      <c r="F28" s="14"/>
      <c r="G28" s="14" t="str">
        <f ca="1">IFERROR(__xludf.DUMMYFUNCTION("""COMPUTED_VALUE"""),"Svatý Bartoloměj")</f>
        <v>Svatý Bartoloměj</v>
      </c>
      <c r="H28" s="14" t="str">
        <f ca="1">IFERROR(__xludf.DUMMYFUNCTION("""COMPUTED_VALUE"""),"Saint-Barthélemy")</f>
        <v>Saint-Barthélemy</v>
      </c>
      <c r="I28" s="14" t="str">
        <f ca="1">IFERROR(__xludf.DUMMYFUNCTION("""COMPUTED_VALUE"""),"Saint Barthélemy")</f>
        <v>Saint Barthélemy</v>
      </c>
      <c r="J28" s="14"/>
      <c r="K28" s="14" t="str">
        <f ca="1">IFERROR(__xludf.DUMMYFUNCTION("""COMPUTED_VALUE"""),"Άγιος Βαρθολομαίος")</f>
        <v>Άγιος Βαρθολομαίος</v>
      </c>
      <c r="L28" s="14" t="str">
        <f ca="1">IFERROR(__xludf.DUMMYFUNCTION("""COMPUTED_VALUE"""),"ΑΓΙΟΣ ΒΑΡΘΟΛΟΜΑΙΟΣ")</f>
        <v>ΑΓΙΟΣ ΒΑΡΘΟΛΟΜΑΙΟΣ</v>
      </c>
      <c r="M28" s="14"/>
      <c r="N28" s="14" t="str">
        <f ca="1">IFERROR(__xludf.DUMMYFUNCTION("""COMPUTED_VALUE"""),"Saint-Barthélemy")</f>
        <v>Saint-Barthélemy</v>
      </c>
      <c r="O28" s="14" t="str">
        <f ca="1">IFERROR(__xludf.DUMMYFUNCTION("""COMPUTED_VALUE"""),"Saint-Barthélemy")</f>
        <v>Saint-Barthélemy</v>
      </c>
      <c r="P28" s="14" t="str">
        <f ca="1">IFERROR(__xludf.DUMMYFUNCTION("""COMPUTED_VALUE"""),"Saint-Barthélemy")</f>
        <v>Saint-Barthélemy</v>
      </c>
      <c r="Q28" s="14"/>
      <c r="R28" s="14" t="str">
        <f ca="1">IFERROR(__xludf.DUMMYFUNCTION("""COMPUTED_VALUE"""),"Saint-Barthélemy")</f>
        <v>Saint-Barthélemy</v>
      </c>
      <c r="S28" s="14" t="str">
        <f ca="1">IFERROR(__xludf.DUMMYFUNCTION("""COMPUTED_VALUE"""),"São Bartolomeu")</f>
        <v>São Bartolomeu</v>
      </c>
      <c r="T28" s="14" t="str">
        <f ca="1">IFERROR(__xludf.DUMMYFUNCTION("""COMPUTED_VALUE"""),"Saint Barthélemy")</f>
        <v>Saint Barthélemy</v>
      </c>
      <c r="U28" s="14"/>
      <c r="V28" s="14" t="str">
        <f ca="1">IFERROR(__xludf.DUMMYFUNCTION("""COMPUTED_VALUE"""),"Сен-Бартелеми")</f>
        <v>Сен-Бартелеми</v>
      </c>
      <c r="W28" s="14" t="str">
        <f ca="1">IFERROR(__xludf.DUMMYFUNCTION("""COMPUTED_VALUE"""),"Saint-Barthélemy")</f>
        <v>Saint-Barthélemy</v>
      </c>
      <c r="X28" s="14"/>
      <c r="Y28" s="14" t="str">
        <f ca="1">IFERROR(__xludf.DUMMYFUNCTION("""COMPUTED_VALUE"""),"Svätý Bartolomej")</f>
        <v>Svätý Bartolomej</v>
      </c>
      <c r="Z28" s="14" t="str">
        <f ca="1">IFERROR(__xludf.DUMMYFUNCTION("""COMPUTED_VALUE"""),"แซงบาร์เตเลมี")</f>
        <v>แซงบาร์เตเลมี</v>
      </c>
      <c r="AA28" s="14" t="str">
        <f ca="1">IFERROR(__xludf.DUMMYFUNCTION("""COMPUTED_VALUE"""),"Saint Barthelemy")</f>
        <v>Saint Barthelemy</v>
      </c>
      <c r="AB28" s="14" t="str">
        <f ca="1">IFERROR(__xludf.DUMMYFUNCTION("""COMPUTED_VALUE"""),"SAİNT BARTHELEMY")</f>
        <v>SAİNT BARTHELEMY</v>
      </c>
      <c r="AC28" s="14" t="str">
        <f ca="1">IFERROR(__xludf.DUMMYFUNCTION("""COMPUTED_VALUE"""),"Сен-Бартельмі")</f>
        <v>Сен-Бартельмі</v>
      </c>
      <c r="AD28" s="14"/>
      <c r="AE28" s="14" t="str">
        <f ca="1">IFERROR(__xludf.DUMMYFUNCTION("""COMPUTED_VALUE"""),"")</f>
        <v/>
      </c>
      <c r="AF28" s="14"/>
    </row>
    <row r="29" spans="1:32" ht="15.75" customHeight="1" x14ac:dyDescent="0.15">
      <c r="A29" s="14" t="str">
        <f ca="1">IFERROR(__xludf.DUMMYFUNCTION("""COMPUTED_VALUE"""),"BM")</f>
        <v>BM</v>
      </c>
      <c r="B29" s="14" t="str">
        <f ca="1">IFERROR(__xludf.DUMMYFUNCTION("""COMPUTED_VALUE"""),"Bermuda")</f>
        <v>Bermuda</v>
      </c>
      <c r="C29" s="14" t="str">
        <f ca="1">IFERROR(__xludf.DUMMYFUNCTION("""COMPUTED_VALUE"""),"برمودا")</f>
        <v>برمودا</v>
      </c>
      <c r="D29" s="14" t="str">
        <f ca="1">IFERROR(__xludf.DUMMYFUNCTION("""COMPUTED_VALUE"""),"Бермудски острови")</f>
        <v>Бермудски острови</v>
      </c>
      <c r="E29" s="14" t="str">
        <f ca="1">IFERROR(__xludf.DUMMYFUNCTION("""COMPUTED_VALUE"""),"Bermudas")</f>
        <v>Bermudas</v>
      </c>
      <c r="F29" s="14" t="str">
        <f ca="1">IFERROR(__xludf.DUMMYFUNCTION("""COMPUTED_VALUE"""),"Бермуды")</f>
        <v>Бермуды</v>
      </c>
      <c r="G29" s="14" t="str">
        <f ca="1">IFERROR(__xludf.DUMMYFUNCTION("""COMPUTED_VALUE"""),"Bermudy")</f>
        <v>Bermudy</v>
      </c>
      <c r="H29" s="14" t="str">
        <f ca="1">IFERROR(__xludf.DUMMYFUNCTION("""COMPUTED_VALUE"""),"Bermuda")</f>
        <v>Bermuda</v>
      </c>
      <c r="I29" s="14" t="str">
        <f ca="1">IFERROR(__xludf.DUMMYFUNCTION("""COMPUTED_VALUE"""),"Bermudas")</f>
        <v>Bermudas</v>
      </c>
      <c r="J29" s="14" t="str">
        <f ca="1">IFERROR(__xludf.DUMMYFUNCTION("""COMPUTED_VALUE"""),"Bermuda")</f>
        <v>Bermuda</v>
      </c>
      <c r="K29" s="14" t="str">
        <f ca="1">IFERROR(__xludf.DUMMYFUNCTION("""COMPUTED_VALUE"""),"Βερμούδες")</f>
        <v>Βερμούδες</v>
      </c>
      <c r="L29" s="14" t="str">
        <f ca="1">IFERROR(__xludf.DUMMYFUNCTION("""COMPUTED_VALUE"""),"ΒΕΡΜΟΥΔΕΣ")</f>
        <v>ΒΕΡΜΟΥΔΕΣ</v>
      </c>
      <c r="M29" s="14" t="str">
        <f ca="1">IFERROR(__xludf.DUMMYFUNCTION("""COMPUTED_VALUE"""),"Bermudi")</f>
        <v>Bermudi</v>
      </c>
      <c r="N29" s="14" t="str">
        <f ca="1">IFERROR(__xludf.DUMMYFUNCTION("""COMPUTED_VALUE"""),"Bermuda")</f>
        <v>Bermuda</v>
      </c>
      <c r="O29" s="14" t="str">
        <f ca="1">IFERROR(__xludf.DUMMYFUNCTION("""COMPUTED_VALUE"""),"Bermuda")</f>
        <v>Bermuda</v>
      </c>
      <c r="P29" s="14" t="str">
        <f ca="1">IFERROR(__xludf.DUMMYFUNCTION("""COMPUTED_VALUE"""),"Bermuda")</f>
        <v>Bermuda</v>
      </c>
      <c r="Q29" s="14" t="str">
        <f ca="1">IFERROR(__xludf.DUMMYFUNCTION("""COMPUTED_VALUE"""),"버뮤다")</f>
        <v>버뮤다</v>
      </c>
      <c r="R29" s="14" t="str">
        <f ca="1">IFERROR(__xludf.DUMMYFUNCTION("""COMPUTED_VALUE"""),"Bermudy")</f>
        <v>Bermudy</v>
      </c>
      <c r="S29" s="14" t="str">
        <f ca="1">IFERROR(__xludf.DUMMYFUNCTION("""COMPUTED_VALUE"""),"Bermudas")</f>
        <v>Bermudas</v>
      </c>
      <c r="T29" s="14" t="str">
        <f ca="1">IFERROR(__xludf.DUMMYFUNCTION("""COMPUTED_VALUE"""),"Bermude")</f>
        <v>Bermude</v>
      </c>
      <c r="U29" s="14" t="str">
        <f ca="1">IFERROR(__xludf.DUMMYFUNCTION("""COMPUTED_VALUE"""),"Bermudi")</f>
        <v>Bermudi</v>
      </c>
      <c r="V29" s="14" t="str">
        <f ca="1">IFERROR(__xludf.DUMMYFUNCTION("""COMPUTED_VALUE"""),"Бермуды")</f>
        <v>Бермуды</v>
      </c>
      <c r="W29" s="14" t="str">
        <f ca="1">IFERROR(__xludf.DUMMYFUNCTION("""COMPUTED_VALUE"""),"Bermuda")</f>
        <v>Bermuda</v>
      </c>
      <c r="X29" s="14" t="str">
        <f ca="1">IFERROR(__xludf.DUMMYFUNCTION("""COMPUTED_VALUE"""),"Bermudi")</f>
        <v>Bermudi</v>
      </c>
      <c r="Y29" s="14" t="str">
        <f ca="1">IFERROR(__xludf.DUMMYFUNCTION("""COMPUTED_VALUE"""),"Bermudy")</f>
        <v>Bermudy</v>
      </c>
      <c r="Z29" s="14" t="str">
        <f ca="1">IFERROR(__xludf.DUMMYFUNCTION("""COMPUTED_VALUE"""),"เบอร์มิวดา")</f>
        <v>เบอร์มิวดา</v>
      </c>
      <c r="AA29" s="14" t="str">
        <f ca="1">IFERROR(__xludf.DUMMYFUNCTION("""COMPUTED_VALUE"""),"Bermuda")</f>
        <v>Bermuda</v>
      </c>
      <c r="AB29" s="14" t="str">
        <f ca="1">IFERROR(__xludf.DUMMYFUNCTION("""COMPUTED_VALUE"""),"BERMUDA")</f>
        <v>BERMUDA</v>
      </c>
      <c r="AC29" s="14" t="str">
        <f ca="1">IFERROR(__xludf.DUMMYFUNCTION("""COMPUTED_VALUE"""),"Бермудські Острови")</f>
        <v>Бермудські Острови</v>
      </c>
      <c r="AD29" s="14" t="str">
        <f ca="1">IFERROR(__xludf.DUMMYFUNCTION("""COMPUTED_VALUE"""),"Bermuda")</f>
        <v>Bermuda</v>
      </c>
      <c r="AE29" s="14" t="str">
        <f ca="1">IFERROR(__xludf.DUMMYFUNCTION("""COMPUTED_VALUE"""),"Бермудалар")</f>
        <v>Бермудалар</v>
      </c>
      <c r="AF29" s="14"/>
    </row>
    <row r="30" spans="1:32" ht="15.75" customHeight="1" x14ac:dyDescent="0.15">
      <c r="A30" s="14" t="str">
        <f ca="1">IFERROR(__xludf.DUMMYFUNCTION("""COMPUTED_VALUE"""),"BN")</f>
        <v>BN</v>
      </c>
      <c r="B30" s="14" t="str">
        <f ca="1">IFERROR(__xludf.DUMMYFUNCTION("""COMPUTED_VALUE"""),"Brunei Darussalam")</f>
        <v>Brunei Darussalam</v>
      </c>
      <c r="C30" s="14" t="str">
        <f ca="1">IFERROR(__xludf.DUMMYFUNCTION("""COMPUTED_VALUE"""),"بروناي")</f>
        <v>بروناي</v>
      </c>
      <c r="D30" s="14" t="str">
        <f ca="1">IFERROR(__xludf.DUMMYFUNCTION("""COMPUTED_VALUE"""),"Бруней")</f>
        <v>Бруней</v>
      </c>
      <c r="E30" s="14" t="str">
        <f ca="1">IFERROR(__xludf.DUMMYFUNCTION("""COMPUTED_VALUE"""),"Brunei")</f>
        <v>Brunei</v>
      </c>
      <c r="F30" s="14" t="str">
        <f ca="1">IFERROR(__xludf.DUMMYFUNCTION("""COMPUTED_VALUE"""),"Бруней")</f>
        <v>Бруней</v>
      </c>
      <c r="G30" s="14" t="str">
        <f ca="1">IFERROR(__xludf.DUMMYFUNCTION("""COMPUTED_VALUE"""),"Brunej")</f>
        <v>Brunej</v>
      </c>
      <c r="H30" s="14" t="str">
        <f ca="1">IFERROR(__xludf.DUMMYFUNCTION("""COMPUTED_VALUE"""),"Brunei Darussalam")</f>
        <v>Brunei Darussalam</v>
      </c>
      <c r="I30" s="14" t="str">
        <f ca="1">IFERROR(__xludf.DUMMYFUNCTION("""COMPUTED_VALUE"""),"Brunei Darussalam")</f>
        <v>Brunei Darussalam</v>
      </c>
      <c r="J30" s="14" t="str">
        <f ca="1">IFERROR(__xludf.DUMMYFUNCTION("""COMPUTED_VALUE"""),"Brunei")</f>
        <v>Brunei</v>
      </c>
      <c r="K30" s="14" t="str">
        <f ca="1">IFERROR(__xludf.DUMMYFUNCTION("""COMPUTED_VALUE"""),"Μπρουνέι")</f>
        <v>Μπρουνέι</v>
      </c>
      <c r="L30" s="14" t="str">
        <f ca="1">IFERROR(__xludf.DUMMYFUNCTION("""COMPUTED_VALUE"""),"ΜΠΡΟΥΝΕΙ")</f>
        <v>ΜΠΡΟΥΝΕΙ</v>
      </c>
      <c r="M30" s="14" t="str">
        <f ca="1">IFERROR(__xludf.DUMMYFUNCTION("""COMPUTED_VALUE"""),"Brunej")</f>
        <v>Brunej</v>
      </c>
      <c r="N30" s="14" t="str">
        <f ca="1">IFERROR(__xludf.DUMMYFUNCTION("""COMPUTED_VALUE"""),"Brunei")</f>
        <v>Brunei</v>
      </c>
      <c r="O30" s="14" t="str">
        <f ca="1">IFERROR(__xludf.DUMMYFUNCTION("""COMPUTED_VALUE"""),"Brunei")</f>
        <v>Brunei</v>
      </c>
      <c r="P30" s="14" t="str">
        <f ca="1">IFERROR(__xludf.DUMMYFUNCTION("""COMPUTED_VALUE"""),"Brunei")</f>
        <v>Brunei</v>
      </c>
      <c r="Q30" s="14" t="str">
        <f ca="1">IFERROR(__xludf.DUMMYFUNCTION("""COMPUTED_VALUE"""),"브루나이")</f>
        <v>브루나이</v>
      </c>
      <c r="R30" s="14" t="str">
        <f ca="1">IFERROR(__xludf.DUMMYFUNCTION("""COMPUTED_VALUE"""),"Brunei")</f>
        <v>Brunei</v>
      </c>
      <c r="S30" s="14" t="str">
        <f ca="1">IFERROR(__xludf.DUMMYFUNCTION("""COMPUTED_VALUE"""),"Brunei")</f>
        <v>Brunei</v>
      </c>
      <c r="T30" s="14" t="str">
        <f ca="1">IFERROR(__xludf.DUMMYFUNCTION("""COMPUTED_VALUE"""),"Brunei")</f>
        <v>Brunei</v>
      </c>
      <c r="U30" s="14" t="str">
        <f ca="1">IFERROR(__xludf.DUMMYFUNCTION("""COMPUTED_VALUE"""),"Brunej")</f>
        <v>Brunej</v>
      </c>
      <c r="V30" s="14" t="str">
        <f ca="1">IFERROR(__xludf.DUMMYFUNCTION("""COMPUTED_VALUE"""),"Бруней")</f>
        <v>Бруней</v>
      </c>
      <c r="W30" s="14" t="str">
        <f ca="1">IFERROR(__xludf.DUMMYFUNCTION("""COMPUTED_VALUE"""),"Brunei")</f>
        <v>Brunei</v>
      </c>
      <c r="X30" s="14" t="str">
        <f ca="1">IFERROR(__xludf.DUMMYFUNCTION("""COMPUTED_VALUE"""),"Brunej")</f>
        <v>Brunej</v>
      </c>
      <c r="Y30" s="14" t="str">
        <f ca="1">IFERROR(__xludf.DUMMYFUNCTION("""COMPUTED_VALUE"""),"Brunej")</f>
        <v>Brunej</v>
      </c>
      <c r="Z30" s="14" t="str">
        <f ca="1">IFERROR(__xludf.DUMMYFUNCTION("""COMPUTED_VALUE"""),"บรูไน")</f>
        <v>บรูไน</v>
      </c>
      <c r="AA30" s="14" t="str">
        <f ca="1">IFERROR(__xludf.DUMMYFUNCTION("""COMPUTED_VALUE"""),"Brunei Darussalam")</f>
        <v>Brunei Darussalam</v>
      </c>
      <c r="AB30" s="14" t="str">
        <f ca="1">IFERROR(__xludf.DUMMYFUNCTION("""COMPUTED_VALUE"""),"BRUNEİ DARUSSALAM")</f>
        <v>BRUNEİ DARUSSALAM</v>
      </c>
      <c r="AC30" s="14" t="str">
        <f ca="1">IFERROR(__xludf.DUMMYFUNCTION("""COMPUTED_VALUE"""),"Бруней")</f>
        <v>Бруней</v>
      </c>
      <c r="AD30" s="14" t="str">
        <f ca="1">IFERROR(__xludf.DUMMYFUNCTION("""COMPUTED_VALUE"""),"Brunei")</f>
        <v>Brunei</v>
      </c>
      <c r="AE30" s="14" t="str">
        <f ca="1">IFERROR(__xludf.DUMMYFUNCTION("""COMPUTED_VALUE"""),"Бахрейн")</f>
        <v>Бахрейн</v>
      </c>
      <c r="AF30" s="14"/>
    </row>
    <row r="31" spans="1:32" ht="15.75" customHeight="1" x14ac:dyDescent="0.15">
      <c r="A31" s="14" t="str">
        <f ca="1">IFERROR(__xludf.DUMMYFUNCTION("""COMPUTED_VALUE"""),"BO")</f>
        <v>BO</v>
      </c>
      <c r="B31" s="14" t="str">
        <f ca="1">IFERROR(__xludf.DUMMYFUNCTION("""COMPUTED_VALUE"""),"Bolivia")</f>
        <v>Bolivia</v>
      </c>
      <c r="C31" s="14" t="str">
        <f ca="1">IFERROR(__xludf.DUMMYFUNCTION("""COMPUTED_VALUE"""),"بوليفيا")</f>
        <v>بوليفيا</v>
      </c>
      <c r="D31" s="14" t="str">
        <f ca="1">IFERROR(__xludf.DUMMYFUNCTION("""COMPUTED_VALUE"""),"Боливия")</f>
        <v>Боливия</v>
      </c>
      <c r="E31" s="14" t="str">
        <f ca="1">IFERROR(__xludf.DUMMYFUNCTION("""COMPUTED_VALUE"""),"Bolívia")</f>
        <v>Bolívia</v>
      </c>
      <c r="F31" s="14" t="str">
        <f ca="1">IFERROR(__xludf.DUMMYFUNCTION("""COMPUTED_VALUE"""),"Балівія")</f>
        <v>Балівія</v>
      </c>
      <c r="G31" s="14" t="str">
        <f ca="1">IFERROR(__xludf.DUMMYFUNCTION("""COMPUTED_VALUE"""),"Bolívie")</f>
        <v>Bolívie</v>
      </c>
      <c r="H31" s="14" t="str">
        <f ca="1">IFERROR(__xludf.DUMMYFUNCTION("""COMPUTED_VALUE"""),"Bolivien")</f>
        <v>Bolivien</v>
      </c>
      <c r="I31" s="14" t="str">
        <f ca="1">IFERROR(__xludf.DUMMYFUNCTION("""COMPUTED_VALUE"""),"Bolivia")</f>
        <v>Bolivia</v>
      </c>
      <c r="J31" s="14" t="str">
        <f ca="1">IFERROR(__xludf.DUMMYFUNCTION("""COMPUTED_VALUE"""),"Bolivia")</f>
        <v>Bolivia</v>
      </c>
      <c r="K31" s="14" t="str">
        <f ca="1">IFERROR(__xludf.DUMMYFUNCTION("""COMPUTED_VALUE"""),"Βολιβία")</f>
        <v>Βολιβία</v>
      </c>
      <c r="L31" s="14" t="str">
        <f ca="1">IFERROR(__xludf.DUMMYFUNCTION("""COMPUTED_VALUE"""),"ΒΟΛΙΒΙΑ")</f>
        <v>ΒΟΛΙΒΙΑ</v>
      </c>
      <c r="M31" s="14" t="str">
        <f ca="1">IFERROR(__xludf.DUMMYFUNCTION("""COMPUTED_VALUE"""),"Bolivija")</f>
        <v>Bolivija</v>
      </c>
      <c r="N31" s="14" t="str">
        <f ca="1">IFERROR(__xludf.DUMMYFUNCTION("""COMPUTED_VALUE"""),"Bolívia")</f>
        <v>Bolívia</v>
      </c>
      <c r="O31" s="14" t="str">
        <f ca="1">IFERROR(__xludf.DUMMYFUNCTION("""COMPUTED_VALUE"""),"Bolivia")</f>
        <v>Bolivia</v>
      </c>
      <c r="P31" s="14" t="str">
        <f ca="1">IFERROR(__xludf.DUMMYFUNCTION("""COMPUTED_VALUE"""),"Bolivia")</f>
        <v>Bolivia</v>
      </c>
      <c r="Q31" s="14" t="str">
        <f ca="1">IFERROR(__xludf.DUMMYFUNCTION("""COMPUTED_VALUE"""),"볼리비아")</f>
        <v>볼리비아</v>
      </c>
      <c r="R31" s="14" t="str">
        <f ca="1">IFERROR(__xludf.DUMMYFUNCTION("""COMPUTED_VALUE"""),"Boliwia")</f>
        <v>Boliwia</v>
      </c>
      <c r="S31" s="14" t="str">
        <f ca="1">IFERROR(__xludf.DUMMYFUNCTION("""COMPUTED_VALUE"""),"Bolívia")</f>
        <v>Bolívia</v>
      </c>
      <c r="T31" s="14" t="str">
        <f ca="1">IFERROR(__xludf.DUMMYFUNCTION("""COMPUTED_VALUE"""),"Bolivia")</f>
        <v>Bolivia</v>
      </c>
      <c r="U31" s="14" t="str">
        <f ca="1">IFERROR(__xludf.DUMMYFUNCTION("""COMPUTED_VALUE"""),"Bolivija")</f>
        <v>Bolivija</v>
      </c>
      <c r="V31" s="14" t="str">
        <f ca="1">IFERROR(__xludf.DUMMYFUNCTION("""COMPUTED_VALUE"""),"Боливия")</f>
        <v>Боливия</v>
      </c>
      <c r="W31" s="14" t="str">
        <f ca="1">IFERROR(__xludf.DUMMYFUNCTION("""COMPUTED_VALUE"""),"Bolivia")</f>
        <v>Bolivia</v>
      </c>
      <c r="X31" s="14" t="str">
        <f ca="1">IFERROR(__xludf.DUMMYFUNCTION("""COMPUTED_VALUE"""),"Bolivija")</f>
        <v>Bolivija</v>
      </c>
      <c r="Y31" s="14" t="str">
        <f ca="1">IFERROR(__xludf.DUMMYFUNCTION("""COMPUTED_VALUE"""),"Bolívia")</f>
        <v>Bolívia</v>
      </c>
      <c r="Z31" s="14" t="str">
        <f ca="1">IFERROR(__xludf.DUMMYFUNCTION("""COMPUTED_VALUE"""),"โบลิเวีย")</f>
        <v>โบลิเวีย</v>
      </c>
      <c r="AA31" s="14" t="str">
        <f ca="1">IFERROR(__xludf.DUMMYFUNCTION("""COMPUTED_VALUE"""),"Bolivya")</f>
        <v>Bolivya</v>
      </c>
      <c r="AB31" s="14" t="str">
        <f ca="1">IFERROR(__xludf.DUMMYFUNCTION("""COMPUTED_VALUE"""),"BOLİVYA")</f>
        <v>BOLİVYA</v>
      </c>
      <c r="AC31" s="14" t="str">
        <f ca="1">IFERROR(__xludf.DUMMYFUNCTION("""COMPUTED_VALUE"""),"Болівія")</f>
        <v>Болівія</v>
      </c>
      <c r="AD31" s="14" t="str">
        <f ca="1">IFERROR(__xludf.DUMMYFUNCTION("""COMPUTED_VALUE"""),"Bolivia")</f>
        <v>Bolivia</v>
      </c>
      <c r="AE31" s="14" t="str">
        <f ca="1">IFERROR(__xludf.DUMMYFUNCTION("""COMPUTED_VALUE"""),"Боливия")</f>
        <v>Боливия</v>
      </c>
      <c r="AF31" s="14"/>
    </row>
    <row r="32" spans="1:32" ht="15.75" customHeight="1" x14ac:dyDescent="0.15">
      <c r="A32" s="14" t="str">
        <f ca="1">IFERROR(__xludf.DUMMYFUNCTION("""COMPUTED_VALUE"""),"BQ")</f>
        <v>BQ</v>
      </c>
      <c r="B32" s="14" t="str">
        <f ca="1">IFERROR(__xludf.DUMMYFUNCTION("""COMPUTED_VALUE"""),"Bonaire, Sint Eustatius and Saba")</f>
        <v>Bonaire, Sint Eustatius and Saba</v>
      </c>
      <c r="C32" s="14"/>
      <c r="D32" s="14"/>
      <c r="E32" s="14" t="str">
        <f ca="1">IFERROR(__xludf.DUMMYFUNCTION("""COMPUTED_VALUE"""),"Bonaire, Santo Eustáquio e Saba")</f>
        <v>Bonaire, Santo Eustáquio e Saba</v>
      </c>
      <c r="F32" s="14" t="str">
        <f ca="1">IFERROR(__xludf.DUMMYFUNCTION("""COMPUTED_VALUE"""),"Бразілія")</f>
        <v>Бразілія</v>
      </c>
      <c r="G32" s="14" t="str">
        <f ca="1">IFERROR(__xludf.DUMMYFUNCTION("""COMPUTED_VALUE"""),"Bonaire, Svatý Eustach a Saba")</f>
        <v>Bonaire, Svatý Eustach a Saba</v>
      </c>
      <c r="H32" s="14" t="str">
        <f ca="1">IFERROR(__xludf.DUMMYFUNCTION("""COMPUTED_VALUE"""),"Bonaire, Sint Eustatius und Saba (Niederlande)")</f>
        <v>Bonaire, Sint Eustatius und Saba (Niederlande)</v>
      </c>
      <c r="I32" s="14" t="str">
        <f ca="1">IFERROR(__xludf.DUMMYFUNCTION("""COMPUTED_VALUE"""),"Bonaire, San Eustaquio y Saba")</f>
        <v>Bonaire, San Eustaquio y Saba</v>
      </c>
      <c r="J32" s="14"/>
      <c r="K32" s="14" t="str">
        <f ca="1">IFERROR(__xludf.DUMMYFUNCTION("""COMPUTED_VALUE"""),"Μποναίρ, Άγιος Ευστάθιος και Σάμπα (Bonaire, Sint Eustatius and Saba)")</f>
        <v>Μποναίρ, Άγιος Ευστάθιος και Σάμπα (Bonaire, Sint Eustatius and Saba)</v>
      </c>
      <c r="L32" s="14" t="str">
        <f ca="1">IFERROR(__xludf.DUMMYFUNCTION("""COMPUTED_VALUE"""),"ΜΠΟΝΑΙΡ, ΑΓΙΟΣ ΕΥΣΤΑΘΙΟΣ ΚΑΙ ΣΑΜΠΑ (BONAIRE, SINT EUSTATIUS AND SABA)")</f>
        <v>ΜΠΟΝΑΙΡ, ΑΓΙΟΣ ΕΥΣΤΑΘΙΟΣ ΚΑΙ ΣΑΜΠΑ (BONAIRE, SINT EUSTATIUS AND SABA)</v>
      </c>
      <c r="M32" s="14"/>
      <c r="N32" s="14" t="str">
        <f ca="1">IFERROR(__xludf.DUMMYFUNCTION("""COMPUTED_VALUE"""),"Karibi Hollandia ( Bonaire,  Saba,  Sint Eustatius)")</f>
        <v>Karibi Hollandia ( Bonaire,  Saba,  Sint Eustatius)</v>
      </c>
      <c r="O32" s="14"/>
      <c r="P32" s="14" t="str">
        <f ca="1">IFERROR(__xludf.DUMMYFUNCTION("""COMPUTED_VALUE"""),"Isole BES")</f>
        <v>Isole BES</v>
      </c>
      <c r="Q32" s="14"/>
      <c r="R32" s="14" t="str">
        <f ca="1">IFERROR(__xludf.DUMMYFUNCTION("""COMPUTED_VALUE"""),"Bonaire, Sint Eustatius i Saba")</f>
        <v>Bonaire, Sint Eustatius i Saba</v>
      </c>
      <c r="S32" s="14" t="str">
        <f ca="1">IFERROR(__xludf.DUMMYFUNCTION("""COMPUTED_VALUE"""),"Bonaire, Santo Eustáquio e Saba")</f>
        <v>Bonaire, Santo Eustáquio e Saba</v>
      </c>
      <c r="T32" s="14" t="str">
        <f ca="1">IFERROR(__xludf.DUMMYFUNCTION("""COMPUTED_VALUE"""),"Insulele Bonaire, Sint Eustatius și Saba")</f>
        <v>Insulele Bonaire, Sint Eustatius și Saba</v>
      </c>
      <c r="U32" s="14"/>
      <c r="V32" s="14" t="str">
        <f ca="1">IFERROR(__xludf.DUMMYFUNCTION("""COMPUTED_VALUE"""),"Бонэйр, Синт-Эстатиус и Саба")</f>
        <v>Бонэйр, Синт-Эстатиус и Саба</v>
      </c>
      <c r="W32" s="14"/>
      <c r="X32" s="14"/>
      <c r="Y32" s="14" t="str">
        <f ca="1">IFERROR(__xludf.DUMMYFUNCTION("""COMPUTED_VALUE"""),"Bonaire, Svätý Eustach a Saba")</f>
        <v>Bonaire, Svätý Eustach a Saba</v>
      </c>
      <c r="Z32" s="14" t="str">
        <f ca="1">IFERROR(__xludf.DUMMYFUNCTION("""COMPUTED_VALUE"""),"แม่แบบ:Country data Bonaire, Sint Eustatius and Saba")</f>
        <v>แม่แบบ:Country data Bonaire, Sint Eustatius and Saba</v>
      </c>
      <c r="AA32" s="14" t="str">
        <f ca="1">IFERROR(__xludf.DUMMYFUNCTION("""COMPUTED_VALUE"""),"Bonaire")</f>
        <v>Bonaire</v>
      </c>
      <c r="AB32" s="14" t="str">
        <f ca="1">IFERROR(__xludf.DUMMYFUNCTION("""COMPUTED_VALUE"""),"BONAİRE")</f>
        <v>BONAİRE</v>
      </c>
      <c r="AC32" s="14" t="str">
        <f ca="1">IFERROR(__xludf.DUMMYFUNCTION("""COMPUTED_VALUE"""),"Карибські Нідерланди")</f>
        <v>Карибські Нідерланди</v>
      </c>
      <c r="AD32" s="14"/>
      <c r="AE32" s="14" t="str">
        <f ca="1">IFERROR(__xludf.DUMMYFUNCTION("""COMPUTED_VALUE"""),"")</f>
        <v/>
      </c>
      <c r="AF32" s="14"/>
    </row>
    <row r="33" spans="1:32" ht="15.75" customHeight="1" x14ac:dyDescent="0.15">
      <c r="A33" s="14" t="str">
        <f ca="1">IFERROR(__xludf.DUMMYFUNCTION("""COMPUTED_VALUE"""),"BR")</f>
        <v>BR</v>
      </c>
      <c r="B33" s="14" t="str">
        <f ca="1">IFERROR(__xludf.DUMMYFUNCTION("""COMPUTED_VALUE"""),"Brazil")</f>
        <v>Brazil</v>
      </c>
      <c r="C33" s="14" t="str">
        <f ca="1">IFERROR(__xludf.DUMMYFUNCTION("""COMPUTED_VALUE"""),"البرازيل")</f>
        <v>البرازيل</v>
      </c>
      <c r="D33" s="14" t="str">
        <f ca="1">IFERROR(__xludf.DUMMYFUNCTION("""COMPUTED_VALUE"""),"Бразилия")</f>
        <v>Бразилия</v>
      </c>
      <c r="E33" s="14" t="str">
        <f ca="1">IFERROR(__xludf.DUMMYFUNCTION("""COMPUTED_VALUE"""),"Brasil")</f>
        <v>Brasil</v>
      </c>
      <c r="F33" s="14" t="str">
        <f ca="1">IFERROR(__xludf.DUMMYFUNCTION("""COMPUTED_VALUE"""),"Бразілія")</f>
        <v>Бразілія</v>
      </c>
      <c r="G33" s="14" t="str">
        <f ca="1">IFERROR(__xludf.DUMMYFUNCTION("""COMPUTED_VALUE"""),"Brazílie")</f>
        <v>Brazílie</v>
      </c>
      <c r="H33" s="14" t="str">
        <f ca="1">IFERROR(__xludf.DUMMYFUNCTION("""COMPUTED_VALUE"""),"Brasilien")</f>
        <v>Brasilien</v>
      </c>
      <c r="I33" s="14" t="str">
        <f ca="1">IFERROR(__xludf.DUMMYFUNCTION("""COMPUTED_VALUE"""),"Brasil")</f>
        <v>Brasil</v>
      </c>
      <c r="J33" s="14" t="str">
        <f ca="1">IFERROR(__xludf.DUMMYFUNCTION("""COMPUTED_VALUE"""),"Brasilia")</f>
        <v>Brasilia</v>
      </c>
      <c r="K33" s="14" t="str">
        <f ca="1">IFERROR(__xludf.DUMMYFUNCTION("""COMPUTED_VALUE"""),"Βραζιλία")</f>
        <v>Βραζιλία</v>
      </c>
      <c r="L33" s="14" t="str">
        <f ca="1">IFERROR(__xludf.DUMMYFUNCTION("""COMPUTED_VALUE"""),"ΒΡΑΖΙΛΙΑ")</f>
        <v>ΒΡΑΖΙΛΙΑ</v>
      </c>
      <c r="M33" s="14" t="str">
        <f ca="1">IFERROR(__xludf.DUMMYFUNCTION("""COMPUTED_VALUE"""),"Brazil")</f>
        <v>Brazil</v>
      </c>
      <c r="N33" s="14" t="str">
        <f ca="1">IFERROR(__xludf.DUMMYFUNCTION("""COMPUTED_VALUE"""),"Brazília")</f>
        <v>Brazília</v>
      </c>
      <c r="O33" s="14" t="str">
        <f ca="1">IFERROR(__xludf.DUMMYFUNCTION("""COMPUTED_VALUE"""),"Brasil")</f>
        <v>Brasil</v>
      </c>
      <c r="P33" s="14" t="str">
        <f ca="1">IFERROR(__xludf.DUMMYFUNCTION("""COMPUTED_VALUE"""),"Brasile")</f>
        <v>Brasile</v>
      </c>
      <c r="Q33" s="14" t="str">
        <f ca="1">IFERROR(__xludf.DUMMYFUNCTION("""COMPUTED_VALUE"""),"브라질")</f>
        <v>브라질</v>
      </c>
      <c r="R33" s="14" t="str">
        <f ca="1">IFERROR(__xludf.DUMMYFUNCTION("""COMPUTED_VALUE"""),"Brazylia")</f>
        <v>Brazylia</v>
      </c>
      <c r="S33" s="14" t="str">
        <f ca="1">IFERROR(__xludf.DUMMYFUNCTION("""COMPUTED_VALUE"""),"Brasil")</f>
        <v>Brasil</v>
      </c>
      <c r="T33" s="14" t="str">
        <f ca="1">IFERROR(__xludf.DUMMYFUNCTION("""COMPUTED_VALUE"""),"Brazilia")</f>
        <v>Brazilia</v>
      </c>
      <c r="U33" s="14" t="str">
        <f ca="1">IFERROR(__xludf.DUMMYFUNCTION("""COMPUTED_VALUE"""),"Brazil")</f>
        <v>Brazil</v>
      </c>
      <c r="V33" s="14" t="str">
        <f ca="1">IFERROR(__xludf.DUMMYFUNCTION("""COMPUTED_VALUE"""),"Бразилия")</f>
        <v>Бразилия</v>
      </c>
      <c r="W33" s="14" t="str">
        <f ca="1">IFERROR(__xludf.DUMMYFUNCTION("""COMPUTED_VALUE"""),"Brasilien")</f>
        <v>Brasilien</v>
      </c>
      <c r="X33" s="14" t="str">
        <f ca="1">IFERROR(__xludf.DUMMYFUNCTION("""COMPUTED_VALUE"""),"Brazilija")</f>
        <v>Brazilija</v>
      </c>
      <c r="Y33" s="14" t="str">
        <f ca="1">IFERROR(__xludf.DUMMYFUNCTION("""COMPUTED_VALUE"""),"Brazília")</f>
        <v>Brazília</v>
      </c>
      <c r="Z33" s="14" t="str">
        <f ca="1">IFERROR(__xludf.DUMMYFUNCTION("""COMPUTED_VALUE"""),"บราซิล")</f>
        <v>บราซิล</v>
      </c>
      <c r="AA33" s="14" t="str">
        <f ca="1">IFERROR(__xludf.DUMMYFUNCTION("""COMPUTED_VALUE"""),"Brezilya")</f>
        <v>Brezilya</v>
      </c>
      <c r="AB33" s="14" t="str">
        <f ca="1">IFERROR(__xludf.DUMMYFUNCTION("""COMPUTED_VALUE"""),"BREZİLYA")</f>
        <v>BREZİLYA</v>
      </c>
      <c r="AC33" s="14" t="str">
        <f ca="1">IFERROR(__xludf.DUMMYFUNCTION("""COMPUTED_VALUE"""),"Бразилія")</f>
        <v>Бразилія</v>
      </c>
      <c r="AD33" s="14" t="str">
        <f ca="1">IFERROR(__xludf.DUMMYFUNCTION("""COMPUTED_VALUE"""),"Brasil")</f>
        <v>Brasil</v>
      </c>
      <c r="AE33" s="14" t="str">
        <f ca="1">IFERROR(__xludf.DUMMYFUNCTION("""COMPUTED_VALUE"""),"Бразилия")</f>
        <v>Бразилия</v>
      </c>
      <c r="AF33" s="14"/>
    </row>
    <row r="34" spans="1:32" ht="15.75" customHeight="1" x14ac:dyDescent="0.15">
      <c r="A34" s="14" t="str">
        <f ca="1">IFERROR(__xludf.DUMMYFUNCTION("""COMPUTED_VALUE"""),"BS")</f>
        <v>BS</v>
      </c>
      <c r="B34" s="14" t="str">
        <f ca="1">IFERROR(__xludf.DUMMYFUNCTION("""COMPUTED_VALUE"""),"Bahamas")</f>
        <v>Bahamas</v>
      </c>
      <c r="C34" s="14" t="str">
        <f ca="1">IFERROR(__xludf.DUMMYFUNCTION("""COMPUTED_VALUE"""),"الباهاما")</f>
        <v>الباهاما</v>
      </c>
      <c r="D34" s="14" t="str">
        <f ca="1">IFERROR(__xludf.DUMMYFUNCTION("""COMPUTED_VALUE"""),"Бахамски острови")</f>
        <v>Бахамски острови</v>
      </c>
      <c r="E34" s="14" t="str">
        <f ca="1">IFERROR(__xludf.DUMMYFUNCTION("""COMPUTED_VALUE"""),"Bahamas")</f>
        <v>Bahamas</v>
      </c>
      <c r="F34" s="14" t="str">
        <f ca="1">IFERROR(__xludf.DUMMYFUNCTION("""COMPUTED_VALUE"""),"Багамы")</f>
        <v>Багамы</v>
      </c>
      <c r="G34" s="14" t="str">
        <f ca="1">IFERROR(__xludf.DUMMYFUNCTION("""COMPUTED_VALUE"""),"Bahamy")</f>
        <v>Bahamy</v>
      </c>
      <c r="H34" s="14" t="str">
        <f ca="1">IFERROR(__xludf.DUMMYFUNCTION("""COMPUTED_VALUE"""),"Bahamas")</f>
        <v>Bahamas</v>
      </c>
      <c r="I34" s="14" t="str">
        <f ca="1">IFERROR(__xludf.DUMMYFUNCTION("""COMPUTED_VALUE"""),"Bahamas (las)")</f>
        <v>Bahamas (las)</v>
      </c>
      <c r="J34" s="14" t="str">
        <f ca="1">IFERROR(__xludf.DUMMYFUNCTION("""COMPUTED_VALUE"""),"Bahama")</f>
        <v>Bahama</v>
      </c>
      <c r="K34" s="14" t="str">
        <f ca="1">IFERROR(__xludf.DUMMYFUNCTION("""COMPUTED_VALUE"""),"Μπαχάμες")</f>
        <v>Μπαχάμες</v>
      </c>
      <c r="L34" s="14" t="str">
        <f ca="1">IFERROR(__xludf.DUMMYFUNCTION("""COMPUTED_VALUE"""),"ΜΠΑΧΑΜΕΣ")</f>
        <v>ΜΠΑΧΑΜΕΣ</v>
      </c>
      <c r="M34" s="14" t="str">
        <f ca="1">IFERROR(__xludf.DUMMYFUNCTION("""COMPUTED_VALUE"""),"Bahami")</f>
        <v>Bahami</v>
      </c>
      <c r="N34" s="14" t="str">
        <f ca="1">IFERROR(__xludf.DUMMYFUNCTION("""COMPUTED_VALUE"""),"Bahama-szigetek")</f>
        <v>Bahama-szigetek</v>
      </c>
      <c r="O34" s="14" t="str">
        <f ca="1">IFERROR(__xludf.DUMMYFUNCTION("""COMPUTED_VALUE"""),"Bahama")</f>
        <v>Bahama</v>
      </c>
      <c r="P34" s="14" t="str">
        <f ca="1">IFERROR(__xludf.DUMMYFUNCTION("""COMPUTED_VALUE"""),"Bahamas")</f>
        <v>Bahamas</v>
      </c>
      <c r="Q34" s="14" t="str">
        <f ca="1">IFERROR(__xludf.DUMMYFUNCTION("""COMPUTED_VALUE"""),"바하마")</f>
        <v>바하마</v>
      </c>
      <c r="R34" s="14" t="str">
        <f ca="1">IFERROR(__xludf.DUMMYFUNCTION("""COMPUTED_VALUE"""),"Bahamy")</f>
        <v>Bahamy</v>
      </c>
      <c r="S34" s="14" t="str">
        <f ca="1">IFERROR(__xludf.DUMMYFUNCTION("""COMPUTED_VALUE"""),"Bahamas")</f>
        <v>Bahamas</v>
      </c>
      <c r="T34" s="14" t="str">
        <f ca="1">IFERROR(__xludf.DUMMYFUNCTION("""COMPUTED_VALUE"""),"Bahamas")</f>
        <v>Bahamas</v>
      </c>
      <c r="U34" s="14" t="str">
        <f ca="1">IFERROR(__xludf.DUMMYFUNCTION("""COMPUTED_VALUE"""),"Bahami")</f>
        <v>Bahami</v>
      </c>
      <c r="V34" s="14" t="str">
        <f ca="1">IFERROR(__xludf.DUMMYFUNCTION("""COMPUTED_VALUE"""),"Багамы")</f>
        <v>Багамы</v>
      </c>
      <c r="W34" s="14" t="str">
        <f ca="1">IFERROR(__xludf.DUMMYFUNCTION("""COMPUTED_VALUE"""),"Bahamas")</f>
        <v>Bahamas</v>
      </c>
      <c r="X34" s="14" t="str">
        <f ca="1">IFERROR(__xludf.DUMMYFUNCTION("""COMPUTED_VALUE"""),"Bahami")</f>
        <v>Bahami</v>
      </c>
      <c r="Y34" s="14" t="str">
        <f ca="1">IFERROR(__xludf.DUMMYFUNCTION("""COMPUTED_VALUE"""),"Bahamy")</f>
        <v>Bahamy</v>
      </c>
      <c r="Z34" s="14" t="str">
        <f ca="1">IFERROR(__xludf.DUMMYFUNCTION("""COMPUTED_VALUE"""),"บาฮามาส")</f>
        <v>บาฮามาส</v>
      </c>
      <c r="AA34" s="14" t="str">
        <f ca="1">IFERROR(__xludf.DUMMYFUNCTION("""COMPUTED_VALUE"""),"Bahamalar")</f>
        <v>Bahamalar</v>
      </c>
      <c r="AB34" s="14" t="str">
        <f ca="1">IFERROR(__xludf.DUMMYFUNCTION("""COMPUTED_VALUE"""),"BAHAMALAR")</f>
        <v>BAHAMALAR</v>
      </c>
      <c r="AC34" s="14" t="str">
        <f ca="1">IFERROR(__xludf.DUMMYFUNCTION("""COMPUTED_VALUE"""),"Багамські Острови")</f>
        <v>Багамські Острови</v>
      </c>
      <c r="AD34" s="14" t="str">
        <f ca="1">IFERROR(__xludf.DUMMYFUNCTION("""COMPUTED_VALUE"""),"Bahamas")</f>
        <v>Bahamas</v>
      </c>
      <c r="AE34" s="14" t="str">
        <f ca="1">IFERROR(__xludf.DUMMYFUNCTION("""COMPUTED_VALUE"""),"Багам аралдары")</f>
        <v>Багам аралдары</v>
      </c>
      <c r="AF34" s="14"/>
    </row>
    <row r="35" spans="1:32" ht="15.75" customHeight="1" x14ac:dyDescent="0.15">
      <c r="A35" s="14" t="str">
        <f ca="1">IFERROR(__xludf.DUMMYFUNCTION("""COMPUTED_VALUE"""),"BT")</f>
        <v>BT</v>
      </c>
      <c r="B35" s="14" t="str">
        <f ca="1">IFERROR(__xludf.DUMMYFUNCTION("""COMPUTED_VALUE"""),"Bhutan")</f>
        <v>Bhutan</v>
      </c>
      <c r="C35" s="14" t="str">
        <f ca="1">IFERROR(__xludf.DUMMYFUNCTION("""COMPUTED_VALUE"""),"بوتان")</f>
        <v>بوتان</v>
      </c>
      <c r="D35" s="14" t="str">
        <f ca="1">IFERROR(__xludf.DUMMYFUNCTION("""COMPUTED_VALUE"""),"Бутан")</f>
        <v>Бутан</v>
      </c>
      <c r="E35" s="14" t="str">
        <f ca="1">IFERROR(__xludf.DUMMYFUNCTION("""COMPUTED_VALUE"""),"Butão")</f>
        <v>Butão</v>
      </c>
      <c r="F35" s="14" t="str">
        <f ca="1">IFERROR(__xludf.DUMMYFUNCTION("""COMPUTED_VALUE"""),"Бутан")</f>
        <v>Бутан</v>
      </c>
      <c r="G35" s="14" t="str">
        <f ca="1">IFERROR(__xludf.DUMMYFUNCTION("""COMPUTED_VALUE"""),"Bhútán")</f>
        <v>Bhútán</v>
      </c>
      <c r="H35" s="14" t="str">
        <f ca="1">IFERROR(__xludf.DUMMYFUNCTION("""COMPUTED_VALUE"""),"Bhutan")</f>
        <v>Bhutan</v>
      </c>
      <c r="I35" s="14" t="str">
        <f ca="1">IFERROR(__xludf.DUMMYFUNCTION("""COMPUTED_VALUE"""),"Bhután")</f>
        <v>Bhután</v>
      </c>
      <c r="J35" s="14" t="str">
        <f ca="1">IFERROR(__xludf.DUMMYFUNCTION("""COMPUTED_VALUE"""),"Bhutan")</f>
        <v>Bhutan</v>
      </c>
      <c r="K35" s="14" t="str">
        <f ca="1">IFERROR(__xludf.DUMMYFUNCTION("""COMPUTED_VALUE"""),"Μπουτάν")</f>
        <v>Μπουτάν</v>
      </c>
      <c r="L35" s="14" t="str">
        <f ca="1">IFERROR(__xludf.DUMMYFUNCTION("""COMPUTED_VALUE"""),"ΜΠΟΥΤΑΝ")</f>
        <v>ΜΠΟΥΤΑΝ</v>
      </c>
      <c r="M35" s="14" t="str">
        <f ca="1">IFERROR(__xludf.DUMMYFUNCTION("""COMPUTED_VALUE"""),"Butan")</f>
        <v>Butan</v>
      </c>
      <c r="N35" s="14" t="str">
        <f ca="1">IFERROR(__xludf.DUMMYFUNCTION("""COMPUTED_VALUE"""),"Bhután")</f>
        <v>Bhután</v>
      </c>
      <c r="O35" s="14" t="str">
        <f ca="1">IFERROR(__xludf.DUMMYFUNCTION("""COMPUTED_VALUE"""),"Bhutan")</f>
        <v>Bhutan</v>
      </c>
      <c r="P35" s="14" t="str">
        <f ca="1">IFERROR(__xludf.DUMMYFUNCTION("""COMPUTED_VALUE"""),"Bhutan")</f>
        <v>Bhutan</v>
      </c>
      <c r="Q35" s="14" t="str">
        <f ca="1">IFERROR(__xludf.DUMMYFUNCTION("""COMPUTED_VALUE"""),"부탄")</f>
        <v>부탄</v>
      </c>
      <c r="R35" s="14" t="str">
        <f ca="1">IFERROR(__xludf.DUMMYFUNCTION("""COMPUTED_VALUE"""),"Bhutan")</f>
        <v>Bhutan</v>
      </c>
      <c r="S35" s="14" t="str">
        <f ca="1">IFERROR(__xludf.DUMMYFUNCTION("""COMPUTED_VALUE"""),"Butão")</f>
        <v>Butão</v>
      </c>
      <c r="T35" s="14" t="str">
        <f ca="1">IFERROR(__xludf.DUMMYFUNCTION("""COMPUTED_VALUE"""),"Bhutan")</f>
        <v>Bhutan</v>
      </c>
      <c r="U35" s="14" t="str">
        <f ca="1">IFERROR(__xludf.DUMMYFUNCTION("""COMPUTED_VALUE"""),"Butan")</f>
        <v>Butan</v>
      </c>
      <c r="V35" s="14" t="str">
        <f ca="1">IFERROR(__xludf.DUMMYFUNCTION("""COMPUTED_VALUE"""),"Бутан")</f>
        <v>Бутан</v>
      </c>
      <c r="W35" s="14" t="str">
        <f ca="1">IFERROR(__xludf.DUMMYFUNCTION("""COMPUTED_VALUE"""),"Bhutan")</f>
        <v>Bhutan</v>
      </c>
      <c r="X35" s="14" t="str">
        <f ca="1">IFERROR(__xludf.DUMMYFUNCTION("""COMPUTED_VALUE"""),"Butan")</f>
        <v>Butan</v>
      </c>
      <c r="Y35" s="14" t="str">
        <f ca="1">IFERROR(__xludf.DUMMYFUNCTION("""COMPUTED_VALUE"""),"Bhután")</f>
        <v>Bhután</v>
      </c>
      <c r="Z35" s="14" t="str">
        <f ca="1">IFERROR(__xludf.DUMMYFUNCTION("""COMPUTED_VALUE"""),"ภูฏาน")</f>
        <v>ภูฏาน</v>
      </c>
      <c r="AA35" s="14" t="str">
        <f ca="1">IFERROR(__xludf.DUMMYFUNCTION("""COMPUTED_VALUE"""),"Butan")</f>
        <v>Butan</v>
      </c>
      <c r="AB35" s="14" t="str">
        <f ca="1">IFERROR(__xludf.DUMMYFUNCTION("""COMPUTED_VALUE"""),"BUTAN")</f>
        <v>BUTAN</v>
      </c>
      <c r="AC35" s="14" t="str">
        <f ca="1">IFERROR(__xludf.DUMMYFUNCTION("""COMPUTED_VALUE"""),"Бутан")</f>
        <v>Бутан</v>
      </c>
      <c r="AD35" s="14" t="str">
        <f ca="1">IFERROR(__xludf.DUMMYFUNCTION("""COMPUTED_VALUE"""),"Bhutan")</f>
        <v>Bhutan</v>
      </c>
      <c r="AE35" s="14" t="str">
        <f ca="1">IFERROR(__xludf.DUMMYFUNCTION("""COMPUTED_VALUE"""),"Бутан")</f>
        <v>Бутан</v>
      </c>
      <c r="AF35" s="14"/>
    </row>
    <row r="36" spans="1:32" ht="15.75" customHeight="1" x14ac:dyDescent="0.15">
      <c r="A36" s="14" t="str">
        <f ca="1">IFERROR(__xludf.DUMMYFUNCTION("""COMPUTED_VALUE"""),"BV")</f>
        <v>BV</v>
      </c>
      <c r="B36" s="14" t="str">
        <f ca="1">IFERROR(__xludf.DUMMYFUNCTION("""COMPUTED_VALUE"""),"Bouvet Island")</f>
        <v>Bouvet Island</v>
      </c>
      <c r="C36" s="14" t="str">
        <f ca="1">IFERROR(__xludf.DUMMYFUNCTION("""COMPUTED_VALUE"""),"جزيرة بوفيه")</f>
        <v>جزيرة بوفيه</v>
      </c>
      <c r="D36" s="14" t="str">
        <f ca="1">IFERROR(__xludf.DUMMYFUNCTION("""COMPUTED_VALUE"""),"Буве")</f>
        <v>Буве</v>
      </c>
      <c r="E36" s="14" t="str">
        <f ca="1">IFERROR(__xludf.DUMMYFUNCTION("""COMPUTED_VALUE"""),"Bouvet, Ilha")</f>
        <v>Bouvet, Ilha</v>
      </c>
      <c r="F36" s="14" t="str">
        <f ca="1">IFERROR(__xludf.DUMMYFUNCTION("""COMPUTED_VALUE"""),"Востраў Бувэ")</f>
        <v>Востраў Бувэ</v>
      </c>
      <c r="G36" s="14" t="str">
        <f ca="1">IFERROR(__xludf.DUMMYFUNCTION("""COMPUTED_VALUE"""),"Bouvetův ostrov")</f>
        <v>Bouvetův ostrov</v>
      </c>
      <c r="H36" s="14" t="str">
        <f ca="1">IFERROR(__xludf.DUMMYFUNCTION("""COMPUTED_VALUE"""),"Bouvetinsel")</f>
        <v>Bouvetinsel</v>
      </c>
      <c r="I36" s="14" t="str">
        <f ca="1">IFERROR(__xludf.DUMMYFUNCTION("""COMPUTED_VALUE"""),"Bouvet, Isla")</f>
        <v>Bouvet, Isla</v>
      </c>
      <c r="J36" s="14" t="str">
        <f ca="1">IFERROR(__xludf.DUMMYFUNCTION("""COMPUTED_VALUE"""),"Bouvet’nsaari")</f>
        <v>Bouvet’nsaari</v>
      </c>
      <c r="K36" s="14" t="str">
        <f ca="1">IFERROR(__xludf.DUMMYFUNCTION("""COMPUTED_VALUE"""),"Μπουβέ")</f>
        <v>Μπουβέ</v>
      </c>
      <c r="L36" s="14" t="str">
        <f ca="1">IFERROR(__xludf.DUMMYFUNCTION("""COMPUTED_VALUE"""),"ΜΠΟΥΒΕ")</f>
        <v>ΜΠΟΥΒΕ</v>
      </c>
      <c r="M36" s="14" t="str">
        <f ca="1">IFERROR(__xludf.DUMMYFUNCTION("""COMPUTED_VALUE"""),"Bouvetov otok")</f>
        <v>Bouvetov otok</v>
      </c>
      <c r="N36" s="14" t="str">
        <f ca="1">IFERROR(__xludf.DUMMYFUNCTION("""COMPUTED_VALUE"""),"Bouvet-sziget")</f>
        <v>Bouvet-sziget</v>
      </c>
      <c r="O36" s="14" t="str">
        <f ca="1">IFERROR(__xludf.DUMMYFUNCTION("""COMPUTED_VALUE"""),"Bouvet, Pulau")</f>
        <v>Bouvet, Pulau</v>
      </c>
      <c r="P36" s="14" t="str">
        <f ca="1">IFERROR(__xludf.DUMMYFUNCTION("""COMPUTED_VALUE"""),"Isola Bouvet")</f>
        <v>Isola Bouvet</v>
      </c>
      <c r="Q36" s="14" t="str">
        <f ca="1">IFERROR(__xludf.DUMMYFUNCTION("""COMPUTED_VALUE"""),"부베 섬")</f>
        <v>부베 섬</v>
      </c>
      <c r="R36" s="14" t="str">
        <f ca="1">IFERROR(__xludf.DUMMYFUNCTION("""COMPUTED_VALUE"""),"Wyspa Bouveta")</f>
        <v>Wyspa Bouveta</v>
      </c>
      <c r="S36" s="14" t="str">
        <f ca="1">IFERROR(__xludf.DUMMYFUNCTION("""COMPUTED_VALUE"""),"Bouvet, Ilha")</f>
        <v>Bouvet, Ilha</v>
      </c>
      <c r="T36" s="14" t="str">
        <f ca="1">IFERROR(__xludf.DUMMYFUNCTION("""COMPUTED_VALUE"""),"Insula Bouvet")</f>
        <v>Insula Bouvet</v>
      </c>
      <c r="U36" s="14" t="str">
        <f ca="1">IFERROR(__xludf.DUMMYFUNCTION("""COMPUTED_VALUE"""),"Buvetovo Ostrvo")</f>
        <v>Buvetovo Ostrvo</v>
      </c>
      <c r="V36" s="14" t="str">
        <f ca="1">IFERROR(__xludf.DUMMYFUNCTION("""COMPUTED_VALUE"""),"Остров Буве")</f>
        <v>Остров Буве</v>
      </c>
      <c r="W36" s="14" t="str">
        <f ca="1">IFERROR(__xludf.DUMMYFUNCTION("""COMPUTED_VALUE"""),"Bouvetön")</f>
        <v>Bouvetön</v>
      </c>
      <c r="X36" s="14" t="str">
        <f ca="1">IFERROR(__xludf.DUMMYFUNCTION("""COMPUTED_VALUE"""),"Bouvetovo otočje")</f>
        <v>Bouvetovo otočje</v>
      </c>
      <c r="Y36" s="14" t="str">
        <f ca="1">IFERROR(__xludf.DUMMYFUNCTION("""COMPUTED_VALUE"""),"Bouvetov ostrov")</f>
        <v>Bouvetov ostrov</v>
      </c>
      <c r="Z36" s="14" t="str">
        <f ca="1">IFERROR(__xludf.DUMMYFUNCTION("""COMPUTED_VALUE"""),"เกาะบูเวต์")</f>
        <v>เกาะบูเวต์</v>
      </c>
      <c r="AA36" s="14" t="str">
        <f ca="1">IFERROR(__xludf.DUMMYFUNCTION("""COMPUTED_VALUE"""),"Bouvet Adası")</f>
        <v>Bouvet Adası</v>
      </c>
      <c r="AB36" s="14" t="str">
        <f ca="1">IFERROR(__xludf.DUMMYFUNCTION("""COMPUTED_VALUE"""),"BOUVET ADASI")</f>
        <v>BOUVET ADASI</v>
      </c>
      <c r="AC36" s="14" t="str">
        <f ca="1">IFERROR(__xludf.DUMMYFUNCTION("""COMPUTED_VALUE"""),"Острів Буве")</f>
        <v>Острів Буве</v>
      </c>
      <c r="AD36" s="14" t="str">
        <f ca="1">IFERROR(__xludf.DUMMYFUNCTION("""COMPUTED_VALUE"""),"Đảo Bouvet")</f>
        <v>Đảo Bouvet</v>
      </c>
      <c r="AE36" s="14" t="str">
        <f ca="1">IFERROR(__xludf.DUMMYFUNCTION("""COMPUTED_VALUE"""),"Буве аралы")</f>
        <v>Буве аралы</v>
      </c>
      <c r="AF36" s="14"/>
    </row>
    <row r="37" spans="1:32" ht="15.75" customHeight="1" x14ac:dyDescent="0.15">
      <c r="A37" s="14" t="str">
        <f ca="1">IFERROR(__xludf.DUMMYFUNCTION("""COMPUTED_VALUE"""),"BW")</f>
        <v>BW</v>
      </c>
      <c r="B37" s="14" t="str">
        <f ca="1">IFERROR(__xludf.DUMMYFUNCTION("""COMPUTED_VALUE"""),"Botswana")</f>
        <v>Botswana</v>
      </c>
      <c r="C37" s="14" t="str">
        <f ca="1">IFERROR(__xludf.DUMMYFUNCTION("""COMPUTED_VALUE"""),"بتسوانا")</f>
        <v>بتسوانا</v>
      </c>
      <c r="D37" s="14" t="str">
        <f ca="1">IFERROR(__xludf.DUMMYFUNCTION("""COMPUTED_VALUE"""),"Ботсвана")</f>
        <v>Ботсвана</v>
      </c>
      <c r="E37" s="14" t="str">
        <f ca="1">IFERROR(__xludf.DUMMYFUNCTION("""COMPUTED_VALUE"""),"Botswana")</f>
        <v>Botswana</v>
      </c>
      <c r="F37" s="14" t="str">
        <f ca="1">IFERROR(__xludf.DUMMYFUNCTION("""COMPUTED_VALUE"""),"Батсвана")</f>
        <v>Батсвана</v>
      </c>
      <c r="G37" s="14" t="str">
        <f ca="1">IFERROR(__xludf.DUMMYFUNCTION("""COMPUTED_VALUE"""),"Botswana")</f>
        <v>Botswana</v>
      </c>
      <c r="H37" s="14" t="str">
        <f ca="1">IFERROR(__xludf.DUMMYFUNCTION("""COMPUTED_VALUE"""),"Botswana")</f>
        <v>Botswana</v>
      </c>
      <c r="I37" s="14" t="str">
        <f ca="1">IFERROR(__xludf.DUMMYFUNCTION("""COMPUTED_VALUE"""),"Botswana")</f>
        <v>Botswana</v>
      </c>
      <c r="J37" s="14" t="str">
        <f ca="1">IFERROR(__xludf.DUMMYFUNCTION("""COMPUTED_VALUE"""),"Botswana")</f>
        <v>Botswana</v>
      </c>
      <c r="K37" s="14" t="str">
        <f ca="1">IFERROR(__xludf.DUMMYFUNCTION("""COMPUTED_VALUE"""),"Μποτσουάνα")</f>
        <v>Μποτσουάνα</v>
      </c>
      <c r="L37" s="14" t="str">
        <f ca="1">IFERROR(__xludf.DUMMYFUNCTION("""COMPUTED_VALUE"""),"ΜΠΟΤΣΟΥΑΝΑ")</f>
        <v>ΜΠΟΤΣΟΥΑΝΑ</v>
      </c>
      <c r="M37" s="14" t="str">
        <f ca="1">IFERROR(__xludf.DUMMYFUNCTION("""COMPUTED_VALUE"""),"Bocvana")</f>
        <v>Bocvana</v>
      </c>
      <c r="N37" s="14" t="str">
        <f ca="1">IFERROR(__xludf.DUMMYFUNCTION("""COMPUTED_VALUE"""),"Botswana")</f>
        <v>Botswana</v>
      </c>
      <c r="O37" s="14" t="str">
        <f ca="1">IFERROR(__xludf.DUMMYFUNCTION("""COMPUTED_VALUE"""),"Botswana")</f>
        <v>Botswana</v>
      </c>
      <c r="P37" s="14" t="str">
        <f ca="1">IFERROR(__xludf.DUMMYFUNCTION("""COMPUTED_VALUE"""),"Botswana")</f>
        <v>Botswana</v>
      </c>
      <c r="Q37" s="14" t="str">
        <f ca="1">IFERROR(__xludf.DUMMYFUNCTION("""COMPUTED_VALUE"""),"보츠와나")</f>
        <v>보츠와나</v>
      </c>
      <c r="R37" s="14" t="str">
        <f ca="1">IFERROR(__xludf.DUMMYFUNCTION("""COMPUTED_VALUE"""),"Botswana")</f>
        <v>Botswana</v>
      </c>
      <c r="S37" s="14" t="str">
        <f ca="1">IFERROR(__xludf.DUMMYFUNCTION("""COMPUTED_VALUE"""),"Botswana")</f>
        <v>Botswana</v>
      </c>
      <c r="T37" s="14" t="str">
        <f ca="1">IFERROR(__xludf.DUMMYFUNCTION("""COMPUTED_VALUE"""),"Botswana")</f>
        <v>Botswana</v>
      </c>
      <c r="U37" s="14" t="str">
        <f ca="1">IFERROR(__xludf.DUMMYFUNCTION("""COMPUTED_VALUE"""),"Bocvana")</f>
        <v>Bocvana</v>
      </c>
      <c r="V37" s="14" t="str">
        <f ca="1">IFERROR(__xludf.DUMMYFUNCTION("""COMPUTED_VALUE"""),"Ботсвана")</f>
        <v>Ботсвана</v>
      </c>
      <c r="W37" s="14" t="str">
        <f ca="1">IFERROR(__xludf.DUMMYFUNCTION("""COMPUTED_VALUE"""),"Botswana")</f>
        <v>Botswana</v>
      </c>
      <c r="X37" s="14" t="str">
        <f ca="1">IFERROR(__xludf.DUMMYFUNCTION("""COMPUTED_VALUE"""),"Bocvana")</f>
        <v>Bocvana</v>
      </c>
      <c r="Y37" s="14" t="str">
        <f ca="1">IFERROR(__xludf.DUMMYFUNCTION("""COMPUTED_VALUE"""),"Botswana")</f>
        <v>Botswana</v>
      </c>
      <c r="Z37" s="14" t="str">
        <f ca="1">IFERROR(__xludf.DUMMYFUNCTION("""COMPUTED_VALUE"""),"บอตสวานา")</f>
        <v>บอตสวานา</v>
      </c>
      <c r="AA37" s="14" t="str">
        <f ca="1">IFERROR(__xludf.DUMMYFUNCTION("""COMPUTED_VALUE"""),"Botsvana")</f>
        <v>Botsvana</v>
      </c>
      <c r="AB37" s="14" t="str">
        <f ca="1">IFERROR(__xludf.DUMMYFUNCTION("""COMPUTED_VALUE"""),"BOTSVANA")</f>
        <v>BOTSVANA</v>
      </c>
      <c r="AC37" s="14" t="str">
        <f ca="1">IFERROR(__xludf.DUMMYFUNCTION("""COMPUTED_VALUE"""),"Ботсвана")</f>
        <v>Ботсвана</v>
      </c>
      <c r="AD37" s="14" t="str">
        <f ca="1">IFERROR(__xludf.DUMMYFUNCTION("""COMPUTED_VALUE"""),"Botswana")</f>
        <v>Botswana</v>
      </c>
      <c r="AE37" s="14" t="str">
        <f ca="1">IFERROR(__xludf.DUMMYFUNCTION("""COMPUTED_VALUE"""),"Ботсвана")</f>
        <v>Ботсвана</v>
      </c>
      <c r="AF37" s="14"/>
    </row>
    <row r="38" spans="1:32" ht="15.75" customHeight="1" x14ac:dyDescent="0.15">
      <c r="A38" s="14" t="str">
        <f ca="1">IFERROR(__xludf.DUMMYFUNCTION("""COMPUTED_VALUE"""),"BY")</f>
        <v>BY</v>
      </c>
      <c r="B38" s="14" t="str">
        <f ca="1">IFERROR(__xludf.DUMMYFUNCTION("""COMPUTED_VALUE"""),"Belarus")</f>
        <v>Belarus</v>
      </c>
      <c r="C38" s="14" t="str">
        <f ca="1">IFERROR(__xludf.DUMMYFUNCTION("""COMPUTED_VALUE"""),"روسيا البيضاء")</f>
        <v>روسيا البيضاء</v>
      </c>
      <c r="D38" s="14" t="str">
        <f ca="1">IFERROR(__xludf.DUMMYFUNCTION("""COMPUTED_VALUE"""),"Беларус")</f>
        <v>Беларус</v>
      </c>
      <c r="E38" s="14" t="str">
        <f ca="1">IFERROR(__xludf.DUMMYFUNCTION("""COMPUTED_VALUE"""),"Bielorrússia")</f>
        <v>Bielorrússia</v>
      </c>
      <c r="F38" s="14" t="str">
        <f ca="1">IFERROR(__xludf.DUMMYFUNCTION("""COMPUTED_VALUE"""),"Беларусь")</f>
        <v>Беларусь</v>
      </c>
      <c r="G38" s="14" t="str">
        <f ca="1">IFERROR(__xludf.DUMMYFUNCTION("""COMPUTED_VALUE"""),"Bělorusko")</f>
        <v>Bělorusko</v>
      </c>
      <c r="H38" s="14" t="str">
        <f ca="1">IFERROR(__xludf.DUMMYFUNCTION("""COMPUTED_VALUE"""),"Belarus")</f>
        <v>Belarus</v>
      </c>
      <c r="I38" s="14" t="str">
        <f ca="1">IFERROR(__xludf.DUMMYFUNCTION("""COMPUTED_VALUE"""),"Belarús")</f>
        <v>Belarús</v>
      </c>
      <c r="J38" s="14" t="str">
        <f ca="1">IFERROR(__xludf.DUMMYFUNCTION("""COMPUTED_VALUE"""),"Valko-Venäjä")</f>
        <v>Valko-Venäjä</v>
      </c>
      <c r="K38" s="14" t="str">
        <f ca="1">IFERROR(__xludf.DUMMYFUNCTION("""COMPUTED_VALUE"""),"Λευκορωσία")</f>
        <v>Λευκορωσία</v>
      </c>
      <c r="L38" s="14" t="str">
        <f ca="1">IFERROR(__xludf.DUMMYFUNCTION("""COMPUTED_VALUE"""),"ΛΕΥΚΟΡΩΣΙΑ")</f>
        <v>ΛΕΥΚΟΡΩΣΙΑ</v>
      </c>
      <c r="M38" s="14" t="str">
        <f ca="1">IFERROR(__xludf.DUMMYFUNCTION("""COMPUTED_VALUE"""),"Bjelorusija")</f>
        <v>Bjelorusija</v>
      </c>
      <c r="N38" s="14" t="str">
        <f ca="1">IFERROR(__xludf.DUMMYFUNCTION("""COMPUTED_VALUE"""),"Belarusz")</f>
        <v>Belarusz</v>
      </c>
      <c r="O38" s="14" t="str">
        <f ca="1">IFERROR(__xludf.DUMMYFUNCTION("""COMPUTED_VALUE"""),"Belarus")</f>
        <v>Belarus</v>
      </c>
      <c r="P38" s="14" t="str">
        <f ca="1">IFERROR(__xludf.DUMMYFUNCTION("""COMPUTED_VALUE"""),"Bielorussia")</f>
        <v>Bielorussia</v>
      </c>
      <c r="Q38" s="14" t="str">
        <f ca="1">IFERROR(__xludf.DUMMYFUNCTION("""COMPUTED_VALUE"""),"벨라루스")</f>
        <v>벨라루스</v>
      </c>
      <c r="R38" s="14" t="str">
        <f ca="1">IFERROR(__xludf.DUMMYFUNCTION("""COMPUTED_VALUE"""),"Białoruś")</f>
        <v>Białoruś</v>
      </c>
      <c r="S38" s="14" t="str">
        <f ca="1">IFERROR(__xludf.DUMMYFUNCTION("""COMPUTED_VALUE"""),"Bielorrússia")</f>
        <v>Bielorrússia</v>
      </c>
      <c r="T38" s="14" t="str">
        <f ca="1">IFERROR(__xludf.DUMMYFUNCTION("""COMPUTED_VALUE"""),"Belarus")</f>
        <v>Belarus</v>
      </c>
      <c r="U38" s="14" t="str">
        <f ca="1">IFERROR(__xludf.DUMMYFUNCTION("""COMPUTED_VALUE"""),"Belorusija")</f>
        <v>Belorusija</v>
      </c>
      <c r="V38" s="14" t="str">
        <f ca="1">IFERROR(__xludf.DUMMYFUNCTION("""COMPUTED_VALUE"""),"Беларусь")</f>
        <v>Беларусь</v>
      </c>
      <c r="W38" s="14" t="str">
        <f ca="1">IFERROR(__xludf.DUMMYFUNCTION("""COMPUTED_VALUE"""),"Belarus")</f>
        <v>Belarus</v>
      </c>
      <c r="X38" s="14" t="str">
        <f ca="1">IFERROR(__xludf.DUMMYFUNCTION("""COMPUTED_VALUE"""),"Belorusija")</f>
        <v>Belorusija</v>
      </c>
      <c r="Y38" s="14" t="str">
        <f ca="1">IFERROR(__xludf.DUMMYFUNCTION("""COMPUTED_VALUE"""),"Bielorusko")</f>
        <v>Bielorusko</v>
      </c>
      <c r="Z38" s="14" t="str">
        <f ca="1">IFERROR(__xludf.DUMMYFUNCTION("""COMPUTED_VALUE"""),"เบลารุส")</f>
        <v>เบลารุส</v>
      </c>
      <c r="AA38" s="14" t="str">
        <f ca="1">IFERROR(__xludf.DUMMYFUNCTION("""COMPUTED_VALUE"""),"Belarus")</f>
        <v>Belarus</v>
      </c>
      <c r="AB38" s="14" t="str">
        <f ca="1">IFERROR(__xludf.DUMMYFUNCTION("""COMPUTED_VALUE"""),"BELARUS")</f>
        <v>BELARUS</v>
      </c>
      <c r="AC38" s="14" t="str">
        <f ca="1">IFERROR(__xludf.DUMMYFUNCTION("""COMPUTED_VALUE"""),"Білорусь")</f>
        <v>Білорусь</v>
      </c>
      <c r="AD38" s="14" t="str">
        <f ca="1">IFERROR(__xludf.DUMMYFUNCTION("""COMPUTED_VALUE"""),"Belarus")</f>
        <v>Belarus</v>
      </c>
      <c r="AE38" s="14" t="str">
        <f ca="1">IFERROR(__xludf.DUMMYFUNCTION("""COMPUTED_VALUE"""),"Беларусь")</f>
        <v>Беларусь</v>
      </c>
      <c r="AF38" s="14"/>
    </row>
    <row r="39" spans="1:32" ht="13" x14ac:dyDescent="0.15">
      <c r="A39" s="14" t="str">
        <f ca="1">IFERROR(__xludf.DUMMYFUNCTION("""COMPUTED_VALUE"""),"BZ")</f>
        <v>BZ</v>
      </c>
      <c r="B39" s="14" t="str">
        <f ca="1">IFERROR(__xludf.DUMMYFUNCTION("""COMPUTED_VALUE"""),"Belize")</f>
        <v>Belize</v>
      </c>
      <c r="C39" s="14" t="str">
        <f ca="1">IFERROR(__xludf.DUMMYFUNCTION("""COMPUTED_VALUE"""),"بليز")</f>
        <v>بليز</v>
      </c>
      <c r="D39" s="14" t="str">
        <f ca="1">IFERROR(__xludf.DUMMYFUNCTION("""COMPUTED_VALUE"""),"Белиз")</f>
        <v>Белиз</v>
      </c>
      <c r="E39" s="14" t="str">
        <f ca="1">IFERROR(__xludf.DUMMYFUNCTION("""COMPUTED_VALUE"""),"Belize")</f>
        <v>Belize</v>
      </c>
      <c r="F39" s="14" t="str">
        <f ca="1">IFERROR(__xludf.DUMMYFUNCTION("""COMPUTED_VALUE"""),"Беліз")</f>
        <v>Беліз</v>
      </c>
      <c r="G39" s="14" t="str">
        <f ca="1">IFERROR(__xludf.DUMMYFUNCTION("""COMPUTED_VALUE"""),"Belize")</f>
        <v>Belize</v>
      </c>
      <c r="H39" s="14" t="str">
        <f ca="1">IFERROR(__xludf.DUMMYFUNCTION("""COMPUTED_VALUE"""),"Belize")</f>
        <v>Belize</v>
      </c>
      <c r="I39" s="14" t="str">
        <f ca="1">IFERROR(__xludf.DUMMYFUNCTION("""COMPUTED_VALUE"""),"Belice")</f>
        <v>Belice</v>
      </c>
      <c r="J39" s="14" t="str">
        <f ca="1">IFERROR(__xludf.DUMMYFUNCTION("""COMPUTED_VALUE"""),"Belize")</f>
        <v>Belize</v>
      </c>
      <c r="K39" s="14" t="str">
        <f ca="1">IFERROR(__xludf.DUMMYFUNCTION("""COMPUTED_VALUE"""),"Μπελίζ")</f>
        <v>Μπελίζ</v>
      </c>
      <c r="L39" s="14" t="str">
        <f ca="1">IFERROR(__xludf.DUMMYFUNCTION("""COMPUTED_VALUE"""),"ΜΠΕΛΙΖ")</f>
        <v>ΜΠΕΛΙΖ</v>
      </c>
      <c r="M39" s="14" t="str">
        <f ca="1">IFERROR(__xludf.DUMMYFUNCTION("""COMPUTED_VALUE"""),"Belize")</f>
        <v>Belize</v>
      </c>
      <c r="N39" s="14" t="str">
        <f ca="1">IFERROR(__xludf.DUMMYFUNCTION("""COMPUTED_VALUE"""),"Belize")</f>
        <v>Belize</v>
      </c>
      <c r="O39" s="14" t="str">
        <f ca="1">IFERROR(__xludf.DUMMYFUNCTION("""COMPUTED_VALUE"""),"Belize")</f>
        <v>Belize</v>
      </c>
      <c r="P39" s="14" t="str">
        <f ca="1">IFERROR(__xludf.DUMMYFUNCTION("""COMPUTED_VALUE"""),"Belize")</f>
        <v>Belize</v>
      </c>
      <c r="Q39" s="14" t="str">
        <f ca="1">IFERROR(__xludf.DUMMYFUNCTION("""COMPUTED_VALUE"""),"벨리즈")</f>
        <v>벨리즈</v>
      </c>
      <c r="R39" s="14" t="str">
        <f ca="1">IFERROR(__xludf.DUMMYFUNCTION("""COMPUTED_VALUE"""),"Belize")</f>
        <v>Belize</v>
      </c>
      <c r="S39" s="14" t="str">
        <f ca="1">IFERROR(__xludf.DUMMYFUNCTION("""COMPUTED_VALUE"""),"Belize")</f>
        <v>Belize</v>
      </c>
      <c r="T39" s="14" t="str">
        <f ca="1">IFERROR(__xludf.DUMMYFUNCTION("""COMPUTED_VALUE"""),"Belize")</f>
        <v>Belize</v>
      </c>
      <c r="U39" s="14" t="str">
        <f ca="1">IFERROR(__xludf.DUMMYFUNCTION("""COMPUTED_VALUE"""),"Belize")</f>
        <v>Belize</v>
      </c>
      <c r="V39" s="14" t="str">
        <f ca="1">IFERROR(__xludf.DUMMYFUNCTION("""COMPUTED_VALUE"""),"Белиз")</f>
        <v>Белиз</v>
      </c>
      <c r="W39" s="14" t="str">
        <f ca="1">IFERROR(__xludf.DUMMYFUNCTION("""COMPUTED_VALUE"""),"Belize")</f>
        <v>Belize</v>
      </c>
      <c r="X39" s="14" t="str">
        <f ca="1">IFERROR(__xludf.DUMMYFUNCTION("""COMPUTED_VALUE"""),"Belize")</f>
        <v>Belize</v>
      </c>
      <c r="Y39" s="14" t="str">
        <f ca="1">IFERROR(__xludf.DUMMYFUNCTION("""COMPUTED_VALUE"""),"Belize")</f>
        <v>Belize</v>
      </c>
      <c r="Z39" s="14" t="str">
        <f ca="1">IFERROR(__xludf.DUMMYFUNCTION("""COMPUTED_VALUE"""),"เบลีซ")</f>
        <v>เบลีซ</v>
      </c>
      <c r="AA39" s="14" t="str">
        <f ca="1">IFERROR(__xludf.DUMMYFUNCTION("""COMPUTED_VALUE"""),"Belize")</f>
        <v>Belize</v>
      </c>
      <c r="AB39" s="14" t="str">
        <f ca="1">IFERROR(__xludf.DUMMYFUNCTION("""COMPUTED_VALUE"""),"BELİZE")</f>
        <v>BELİZE</v>
      </c>
      <c r="AC39" s="14" t="str">
        <f ca="1">IFERROR(__xludf.DUMMYFUNCTION("""COMPUTED_VALUE"""),"Беліз")</f>
        <v>Беліз</v>
      </c>
      <c r="AD39" s="14" t="str">
        <f ca="1">IFERROR(__xludf.DUMMYFUNCTION("""COMPUTED_VALUE"""),"Belize")</f>
        <v>Belize</v>
      </c>
      <c r="AE39" s="14" t="str">
        <f ca="1">IFERROR(__xludf.DUMMYFUNCTION("""COMPUTED_VALUE"""),"Белиз")</f>
        <v>Белиз</v>
      </c>
      <c r="AF39" s="14"/>
    </row>
    <row r="40" spans="1:32" ht="13" x14ac:dyDescent="0.15">
      <c r="A40" s="14" t="str">
        <f ca="1">IFERROR(__xludf.DUMMYFUNCTION("""COMPUTED_VALUE"""),"CA")</f>
        <v>CA</v>
      </c>
      <c r="B40" s="14" t="str">
        <f ca="1">IFERROR(__xludf.DUMMYFUNCTION("""COMPUTED_VALUE"""),"Canada")</f>
        <v>Canada</v>
      </c>
      <c r="C40" s="14" t="str">
        <f ca="1">IFERROR(__xludf.DUMMYFUNCTION("""COMPUTED_VALUE"""),"كندا")</f>
        <v>كندا</v>
      </c>
      <c r="D40" s="14" t="str">
        <f ca="1">IFERROR(__xludf.DUMMYFUNCTION("""COMPUTED_VALUE"""),"Канада")</f>
        <v>Канада</v>
      </c>
      <c r="E40" s="14" t="str">
        <f ca="1">IFERROR(__xludf.DUMMYFUNCTION("""COMPUTED_VALUE"""),"Canadá")</f>
        <v>Canadá</v>
      </c>
      <c r="F40" s="14" t="str">
        <f ca="1">IFERROR(__xludf.DUMMYFUNCTION("""COMPUTED_VALUE"""),"Канада")</f>
        <v>Канада</v>
      </c>
      <c r="G40" s="14" t="str">
        <f ca="1">IFERROR(__xludf.DUMMYFUNCTION("""COMPUTED_VALUE"""),"Kanada")</f>
        <v>Kanada</v>
      </c>
      <c r="H40" s="14" t="str">
        <f ca="1">IFERROR(__xludf.DUMMYFUNCTION("""COMPUTED_VALUE"""),"Kanada")</f>
        <v>Kanada</v>
      </c>
      <c r="I40" s="14" t="str">
        <f ca="1">IFERROR(__xludf.DUMMYFUNCTION("""COMPUTED_VALUE"""),"Canadá")</f>
        <v>Canadá</v>
      </c>
      <c r="J40" s="14" t="str">
        <f ca="1">IFERROR(__xludf.DUMMYFUNCTION("""COMPUTED_VALUE"""),"Kanada")</f>
        <v>Kanada</v>
      </c>
      <c r="K40" s="14" t="str">
        <f ca="1">IFERROR(__xludf.DUMMYFUNCTION("""COMPUTED_VALUE"""),"Καναδάς")</f>
        <v>Καναδάς</v>
      </c>
      <c r="L40" s="14" t="str">
        <f ca="1">IFERROR(__xludf.DUMMYFUNCTION("""COMPUTED_VALUE"""),"ΚΑΝΑΔΑΣ")</f>
        <v>ΚΑΝΑΔΑΣ</v>
      </c>
      <c r="M40" s="14" t="str">
        <f ca="1">IFERROR(__xludf.DUMMYFUNCTION("""COMPUTED_VALUE"""),"Kanada")</f>
        <v>Kanada</v>
      </c>
      <c r="N40" s="14" t="str">
        <f ca="1">IFERROR(__xludf.DUMMYFUNCTION("""COMPUTED_VALUE"""),"Kanada")</f>
        <v>Kanada</v>
      </c>
      <c r="O40" s="14" t="str">
        <f ca="1">IFERROR(__xludf.DUMMYFUNCTION("""COMPUTED_VALUE"""),"Kanada")</f>
        <v>Kanada</v>
      </c>
      <c r="P40" s="14" t="str">
        <f ca="1">IFERROR(__xludf.DUMMYFUNCTION("""COMPUTED_VALUE"""),"Canada")</f>
        <v>Canada</v>
      </c>
      <c r="Q40" s="14" t="str">
        <f ca="1">IFERROR(__xludf.DUMMYFUNCTION("""COMPUTED_VALUE"""),"캐나다")</f>
        <v>캐나다</v>
      </c>
      <c r="R40" s="14" t="str">
        <f ca="1">IFERROR(__xludf.DUMMYFUNCTION("""COMPUTED_VALUE"""),"Kanada")</f>
        <v>Kanada</v>
      </c>
      <c r="S40" s="14" t="str">
        <f ca="1">IFERROR(__xludf.DUMMYFUNCTION("""COMPUTED_VALUE"""),"Canadá")</f>
        <v>Canadá</v>
      </c>
      <c r="T40" s="14" t="str">
        <f ca="1">IFERROR(__xludf.DUMMYFUNCTION("""COMPUTED_VALUE"""),"Canada")</f>
        <v>Canada</v>
      </c>
      <c r="U40" s="14" t="str">
        <f ca="1">IFERROR(__xludf.DUMMYFUNCTION("""COMPUTED_VALUE"""),"Kanada")</f>
        <v>Kanada</v>
      </c>
      <c r="V40" s="14" t="str">
        <f ca="1">IFERROR(__xludf.DUMMYFUNCTION("""COMPUTED_VALUE"""),"Канада")</f>
        <v>Канада</v>
      </c>
      <c r="W40" s="14" t="str">
        <f ca="1">IFERROR(__xludf.DUMMYFUNCTION("""COMPUTED_VALUE"""),"Kanada")</f>
        <v>Kanada</v>
      </c>
      <c r="X40" s="14" t="str">
        <f ca="1">IFERROR(__xludf.DUMMYFUNCTION("""COMPUTED_VALUE"""),"Kanada")</f>
        <v>Kanada</v>
      </c>
      <c r="Y40" s="14" t="str">
        <f ca="1">IFERROR(__xludf.DUMMYFUNCTION("""COMPUTED_VALUE"""),"Kanada")</f>
        <v>Kanada</v>
      </c>
      <c r="Z40" s="14" t="str">
        <f ca="1">IFERROR(__xludf.DUMMYFUNCTION("""COMPUTED_VALUE"""),"แคนาดา")</f>
        <v>แคนาดา</v>
      </c>
      <c r="AA40" s="14" t="str">
        <f ca="1">IFERROR(__xludf.DUMMYFUNCTION("""COMPUTED_VALUE"""),"Kanada")</f>
        <v>Kanada</v>
      </c>
      <c r="AB40" s="14" t="str">
        <f ca="1">IFERROR(__xludf.DUMMYFUNCTION("""COMPUTED_VALUE"""),"KANADA")</f>
        <v>KANADA</v>
      </c>
      <c r="AC40" s="14" t="str">
        <f ca="1">IFERROR(__xludf.DUMMYFUNCTION("""COMPUTED_VALUE"""),"Канада")</f>
        <v>Канада</v>
      </c>
      <c r="AD40" s="14" t="str">
        <f ca="1">IFERROR(__xludf.DUMMYFUNCTION("""COMPUTED_VALUE"""),"Canada")</f>
        <v>Canada</v>
      </c>
      <c r="AE40" s="14" t="str">
        <f ca="1">IFERROR(__xludf.DUMMYFUNCTION("""COMPUTED_VALUE"""),"Канада")</f>
        <v>Канада</v>
      </c>
      <c r="AF40" s="14"/>
    </row>
    <row r="41" spans="1:32" ht="13" x14ac:dyDescent="0.15">
      <c r="A41" s="14" t="str">
        <f ca="1">IFERROR(__xludf.DUMMYFUNCTION("""COMPUTED_VALUE"""),"CC")</f>
        <v>CC</v>
      </c>
      <c r="B41" s="14" t="str">
        <f ca="1">IFERROR(__xludf.DUMMYFUNCTION("""COMPUTED_VALUE"""),"Cocos (Keeling) Islands")</f>
        <v>Cocos (Keeling) Islands</v>
      </c>
      <c r="C41" s="14" t="str">
        <f ca="1">IFERROR(__xludf.DUMMYFUNCTION("""COMPUTED_VALUE"""),"جزر كوكوس")</f>
        <v>جزر كوكوس</v>
      </c>
      <c r="D41" s="14" t="str">
        <f ca="1">IFERROR(__xludf.DUMMYFUNCTION("""COMPUTED_VALUE"""),"Кокосови острови")</f>
        <v>Кокосови острови</v>
      </c>
      <c r="E41" s="14" t="str">
        <f ca="1">IFERROR(__xludf.DUMMYFUNCTION("""COMPUTED_VALUE"""),"Cocos, Ilhas")</f>
        <v>Cocos, Ilhas</v>
      </c>
      <c r="F41" s="14" t="str">
        <f ca="1">IFERROR(__xludf.DUMMYFUNCTION("""COMPUTED_VALUE"""),"Какосавыя астравы")</f>
        <v>Какосавыя астравы</v>
      </c>
      <c r="G41" s="14" t="str">
        <f ca="1">IFERROR(__xludf.DUMMYFUNCTION("""COMPUTED_VALUE"""),"Kokosové ostrovy")</f>
        <v>Kokosové ostrovy</v>
      </c>
      <c r="H41" s="14" t="str">
        <f ca="1">IFERROR(__xludf.DUMMYFUNCTION("""COMPUTED_VALUE"""),"Kokosinseln")</f>
        <v>Kokosinseln</v>
      </c>
      <c r="I41" s="14" t="str">
        <f ca="1">IFERROR(__xludf.DUMMYFUNCTION("""COMPUTED_VALUE"""),"Cocos / Keeling, (las) Islas")</f>
        <v>Cocos / Keeling, (las) Islas</v>
      </c>
      <c r="J41" s="14" t="str">
        <f ca="1">IFERROR(__xludf.DUMMYFUNCTION("""COMPUTED_VALUE"""),"Kookossaaret")</f>
        <v>Kookossaaret</v>
      </c>
      <c r="K41" s="14" t="str">
        <f ca="1">IFERROR(__xludf.DUMMYFUNCTION("""COMPUTED_VALUE"""),"Νησιά Κόκος (Keeling)")</f>
        <v>Νησιά Κόκος (Keeling)</v>
      </c>
      <c r="L41" s="14" t="str">
        <f ca="1">IFERROR(__xludf.DUMMYFUNCTION("""COMPUTED_VALUE"""),"ΝΗΣΙΑ ΚΟΚΟΣ (KEELING)")</f>
        <v>ΝΗΣΙΑ ΚΟΚΟΣ (KEELING)</v>
      </c>
      <c r="M41" s="14" t="str">
        <f ca="1">IFERROR(__xludf.DUMMYFUNCTION("""COMPUTED_VALUE"""),"Kokosovi (Keeling) otoci")</f>
        <v>Kokosovi (Keeling) otoci</v>
      </c>
      <c r="N41" s="14" t="str">
        <f ca="1">IFERROR(__xludf.DUMMYFUNCTION("""COMPUTED_VALUE"""),"Kókusz (Keeling)-szigetek")</f>
        <v>Kókusz (Keeling)-szigetek</v>
      </c>
      <c r="O41" s="14" t="str">
        <f ca="1">IFERROR(__xludf.DUMMYFUNCTION("""COMPUTED_VALUE"""),"Cocos (Keeling), Kepulauan")</f>
        <v>Cocos (Keeling), Kepulauan</v>
      </c>
      <c r="P41" s="14" t="str">
        <f ca="1">IFERROR(__xludf.DUMMYFUNCTION("""COMPUTED_VALUE"""),"Isole Cocos (Keeling)")</f>
        <v>Isole Cocos (Keeling)</v>
      </c>
      <c r="Q41" s="14" t="str">
        <f ca="1">IFERROR(__xludf.DUMMYFUNCTION("""COMPUTED_VALUE"""),"코코스 제도")</f>
        <v>코코스 제도</v>
      </c>
      <c r="R41" s="14" t="str">
        <f ca="1">IFERROR(__xludf.DUMMYFUNCTION("""COMPUTED_VALUE"""),"Wyspy Kokosowe")</f>
        <v>Wyspy Kokosowe</v>
      </c>
      <c r="S41" s="14" t="str">
        <f ca="1">IFERROR(__xludf.DUMMYFUNCTION("""COMPUTED_VALUE"""),"Cocos, Ilhas")</f>
        <v>Cocos, Ilhas</v>
      </c>
      <c r="T41" s="14" t="str">
        <f ca="1">IFERROR(__xludf.DUMMYFUNCTION("""COMPUTED_VALUE"""),"Insulele Cocos")</f>
        <v>Insulele Cocos</v>
      </c>
      <c r="U41" s="14" t="str">
        <f ca="1">IFERROR(__xludf.DUMMYFUNCTION("""COMPUTED_VALUE"""),"Kokosova ostrva")</f>
        <v>Kokosova ostrva</v>
      </c>
      <c r="V41" s="14" t="str">
        <f ca="1">IFERROR(__xludf.DUMMYFUNCTION("""COMPUTED_VALUE"""),"Кокосовые острова")</f>
        <v>Кокосовые острова</v>
      </c>
      <c r="W41" s="14" t="str">
        <f ca="1">IFERROR(__xludf.DUMMYFUNCTION("""COMPUTED_VALUE"""),"Kokosöarna")</f>
        <v>Kokosöarna</v>
      </c>
      <c r="X41" s="14" t="str">
        <f ca="1">IFERROR(__xludf.DUMMYFUNCTION("""COMPUTED_VALUE"""),"Kokosovi otoki")</f>
        <v>Kokosovi otoki</v>
      </c>
      <c r="Y41" s="14" t="str">
        <f ca="1">IFERROR(__xludf.DUMMYFUNCTION("""COMPUTED_VALUE"""),"Kokosové ostrovy")</f>
        <v>Kokosové ostrovy</v>
      </c>
      <c r="Z41" s="14" t="str">
        <f ca="1">IFERROR(__xludf.DUMMYFUNCTION("""COMPUTED_VALUE"""),"หมู่เกาะโคโคส")</f>
        <v>หมู่เกาะโคโคส</v>
      </c>
      <c r="AA41" s="14" t="str">
        <f ca="1">IFERROR(__xludf.DUMMYFUNCTION("""COMPUTED_VALUE"""),"Cocos (Keeling) Adaları")</f>
        <v>Cocos (Keeling) Adaları</v>
      </c>
      <c r="AB41" s="14" t="str">
        <f ca="1">IFERROR(__xludf.DUMMYFUNCTION("""COMPUTED_VALUE"""),"COCOS (KEELING) ADALARI")</f>
        <v>COCOS (KEELING) ADALARI</v>
      </c>
      <c r="AC41" s="14" t="str">
        <f ca="1">IFERROR(__xludf.DUMMYFUNCTION("""COMPUTED_VALUE"""),"Кокосові острови")</f>
        <v>Кокосові острови</v>
      </c>
      <c r="AD41" s="14" t="str">
        <f ca="1">IFERROR(__xludf.DUMMYFUNCTION("""COMPUTED_VALUE"""),"Đảo Cocos")</f>
        <v>Đảo Cocos</v>
      </c>
      <c r="AE41" s="14" t="str">
        <f ca="1">IFERROR(__xludf.DUMMYFUNCTION("""COMPUTED_VALUE"""),"Кокос (Килинг) аралдары")</f>
        <v>Кокос (Килинг) аралдары</v>
      </c>
      <c r="AF41" s="14"/>
    </row>
    <row r="42" spans="1:32" ht="13" x14ac:dyDescent="0.15">
      <c r="A42" s="14" t="str">
        <f ca="1">IFERROR(__xludf.DUMMYFUNCTION("""COMPUTED_VALUE"""),"CD")</f>
        <v>CD</v>
      </c>
      <c r="B42" s="14" t="str">
        <f ca="1">IFERROR(__xludf.DUMMYFUNCTION("""COMPUTED_VALUE"""),"Congo, the Democratic Republic of the")</f>
        <v>Congo, the Democratic Republic of the</v>
      </c>
      <c r="C42" s="14" t="str">
        <f ca="1">IFERROR(__xludf.DUMMYFUNCTION("""COMPUTED_VALUE"""),"جمهورية الكونغو الديمقراطية")</f>
        <v>جمهورية الكونغو الديمقراطية</v>
      </c>
      <c r="D42" s="14" t="str">
        <f ca="1">IFERROR(__xludf.DUMMYFUNCTION("""COMPUTED_VALUE"""),"Демократична република Конго")</f>
        <v>Демократична република Конго</v>
      </c>
      <c r="E42" s="14" t="str">
        <f ca="1">IFERROR(__xludf.DUMMYFUNCTION("""COMPUTED_VALUE"""),"Congo, República Democrática do (antigo Zaire)")</f>
        <v>Congo, República Democrática do (antigo Zaire)</v>
      </c>
      <c r="F42" s="14" t="str">
        <f ca="1">IFERROR(__xludf.DUMMYFUNCTION("""COMPUTED_VALUE"""),"ДР Конга")</f>
        <v>ДР Конга</v>
      </c>
      <c r="G42" s="14" t="str">
        <f ca="1">IFERROR(__xludf.DUMMYFUNCTION("""COMPUTED_VALUE"""),"Demokratická republika Kongo")</f>
        <v>Demokratická republika Kongo</v>
      </c>
      <c r="H42" s="14" t="str">
        <f ca="1">IFERROR(__xludf.DUMMYFUNCTION("""COMPUTED_VALUE"""),"Kongo, Demokratische Republik (ehem. Zaire)")</f>
        <v>Kongo, Demokratische Republik (ehem. Zaire)</v>
      </c>
      <c r="I42" s="14" t="str">
        <f ca="1">IFERROR(__xludf.DUMMYFUNCTION("""COMPUTED_VALUE"""),"Congo (la República Democrática del)")</f>
        <v>Congo (la República Democrática del)</v>
      </c>
      <c r="J42" s="14" t="str">
        <f ca="1">IFERROR(__xludf.DUMMYFUNCTION("""COMPUTED_VALUE"""),"Kongon demokraattinen tasavalta")</f>
        <v>Kongon demokraattinen tasavalta</v>
      </c>
      <c r="K42" s="14" t="str">
        <f ca="1">IFERROR(__xludf.DUMMYFUNCTION("""COMPUTED_VALUE"""),"Λαϊκή Δημοκρατία του Κογκό")</f>
        <v>Λαϊκή Δημοκρατία του Κογκό</v>
      </c>
      <c r="L42" s="14" t="str">
        <f ca="1">IFERROR(__xludf.DUMMYFUNCTION("""COMPUTED_VALUE"""),"ΛΑΪΚΗ ΔΗΜΟΚΡΑΤΙΑ ΤΟΥ ΚΟΓΚΟ")</f>
        <v>ΛΑΪΚΗ ΔΗΜΟΚΡΑΤΙΑ ΤΟΥ ΚΟΓΚΟ</v>
      </c>
      <c r="M42" s="14"/>
      <c r="N42" s="14" t="str">
        <f ca="1">IFERROR(__xludf.DUMMYFUNCTION("""COMPUTED_VALUE"""),"Kongói Demokratikus Köztársaság (Zaire)")</f>
        <v>Kongói Demokratikus Köztársaság (Zaire)</v>
      </c>
      <c r="O42" s="14" t="str">
        <f ca="1">IFERROR(__xludf.DUMMYFUNCTION("""COMPUTED_VALUE"""),"Kongo, Republik Demokratik")</f>
        <v>Kongo, Republik Demokratik</v>
      </c>
      <c r="P42" s="14" t="str">
        <f ca="1">IFERROR(__xludf.DUMMYFUNCTION("""COMPUTED_VALUE"""),"RD del Congo")</f>
        <v>RD del Congo</v>
      </c>
      <c r="Q42" s="14" t="str">
        <f ca="1">IFERROR(__xludf.DUMMYFUNCTION("""COMPUTED_VALUE"""),"콩고 민주 공화국")</f>
        <v>콩고 민주 공화국</v>
      </c>
      <c r="R42" s="14" t="str">
        <f ca="1">IFERROR(__xludf.DUMMYFUNCTION("""COMPUTED_VALUE"""),"Demokratyczna Republika Konga")</f>
        <v>Demokratyczna Republika Konga</v>
      </c>
      <c r="S42" s="14" t="str">
        <f ca="1">IFERROR(__xludf.DUMMYFUNCTION("""COMPUTED_VALUE"""),"Congo, República Democrática do (antigo Zaire)")</f>
        <v>Congo, República Democrática do (antigo Zaire)</v>
      </c>
      <c r="T42" s="14" t="str">
        <f ca="1">IFERROR(__xludf.DUMMYFUNCTION("""COMPUTED_VALUE"""),"Republica Democrată Congo")</f>
        <v>Republica Democrată Congo</v>
      </c>
      <c r="U42" s="14" t="str">
        <f ca="1">IFERROR(__xludf.DUMMYFUNCTION("""COMPUTED_VALUE"""),"Demokratska Republika Kongo")</f>
        <v>Demokratska Republika Kongo</v>
      </c>
      <c r="V42" s="14" t="str">
        <f ca="1">IFERROR(__xludf.DUMMYFUNCTION("""COMPUTED_VALUE"""),"Демократическая Республика Конго")</f>
        <v>Демократическая Республика Конго</v>
      </c>
      <c r="W42" s="14" t="str">
        <f ca="1">IFERROR(__xludf.DUMMYFUNCTION("""COMPUTED_VALUE"""),"Demokratiska republiken Kongo")</f>
        <v>Demokratiska republiken Kongo</v>
      </c>
      <c r="X42" s="14" t="str">
        <f ca="1">IFERROR(__xludf.DUMMYFUNCTION("""COMPUTED_VALUE"""),"Demokratična republika Kongo")</f>
        <v>Demokratična republika Kongo</v>
      </c>
      <c r="Y42" s="14" t="str">
        <f ca="1">IFERROR(__xludf.DUMMYFUNCTION("""COMPUTED_VALUE"""),"Konžská demokratická republika")</f>
        <v>Konžská demokratická republika</v>
      </c>
      <c r="Z42" s="14" t="str">
        <f ca="1">IFERROR(__xludf.DUMMYFUNCTION("""COMPUTED_VALUE"""),"สาธารณรัฐประชาธิปไตยคองโก")</f>
        <v>สาธารณรัฐประชาธิปไตยคองโก</v>
      </c>
      <c r="AA42" s="14" t="str">
        <f ca="1">IFERROR(__xludf.DUMMYFUNCTION("""COMPUTED_VALUE"""),"Kongo Demokratik Cumhuriyeti")</f>
        <v>Kongo Demokratik Cumhuriyeti</v>
      </c>
      <c r="AB42" s="14" t="str">
        <f ca="1">IFERROR(__xludf.DUMMYFUNCTION("""COMPUTED_VALUE"""),"KONGO DEMOKRATİK CUMHURİYETİ")</f>
        <v>KONGO DEMOKRATİK CUMHURİYETİ</v>
      </c>
      <c r="AC42" s="14" t="str">
        <f ca="1">IFERROR(__xludf.DUMMYFUNCTION("""COMPUTED_VALUE"""),"ДР Конго")</f>
        <v>ДР Конго</v>
      </c>
      <c r="AD42" s="14"/>
      <c r="AE42" s="14" t="str">
        <f ca="1">IFERROR(__xludf.DUMMYFUNCTION("""COMPUTED_VALUE"""),"Конго Демократиялық Республикасы")</f>
        <v>Конго Демократиялық Республикасы</v>
      </c>
      <c r="AF42" s="14"/>
    </row>
    <row r="43" spans="1:32" ht="13" x14ac:dyDescent="0.15">
      <c r="A43" s="14" t="str">
        <f ca="1">IFERROR(__xludf.DUMMYFUNCTION("""COMPUTED_VALUE"""),"CF")</f>
        <v>CF</v>
      </c>
      <c r="B43" s="14" t="str">
        <f ca="1">IFERROR(__xludf.DUMMYFUNCTION("""COMPUTED_VALUE"""),"Central African Republic")</f>
        <v>Central African Republic</v>
      </c>
      <c r="C43" s="14" t="str">
        <f ca="1">IFERROR(__xludf.DUMMYFUNCTION("""COMPUTED_VALUE"""),"جمهورية افريقيا الوسطى")</f>
        <v>جمهورية افريقيا الوسطى</v>
      </c>
      <c r="D43" s="14" t="str">
        <f ca="1">IFERROR(__xludf.DUMMYFUNCTION("""COMPUTED_VALUE"""),"Централноафриканска република")</f>
        <v>Централноафриканска република</v>
      </c>
      <c r="E43" s="14" t="str">
        <f ca="1">IFERROR(__xludf.DUMMYFUNCTION("""COMPUTED_VALUE"""),"Centro-Africana, República")</f>
        <v>Centro-Africana, República</v>
      </c>
      <c r="F43" s="14" t="str">
        <f ca="1">IFERROR(__xludf.DUMMYFUNCTION("""COMPUTED_VALUE"""),"ЦАР")</f>
        <v>ЦАР</v>
      </c>
      <c r="G43" s="14" t="str">
        <f ca="1">IFERROR(__xludf.DUMMYFUNCTION("""COMPUTED_VALUE"""),"Středoafrická republika")</f>
        <v>Středoafrická republika</v>
      </c>
      <c r="H43" s="14" t="str">
        <f ca="1">IFERROR(__xludf.DUMMYFUNCTION("""COMPUTED_VALUE"""),"Zentralafrikanische Republik")</f>
        <v>Zentralafrikanische Republik</v>
      </c>
      <c r="I43" s="14" t="str">
        <f ca="1">IFERROR(__xludf.DUMMYFUNCTION("""COMPUTED_VALUE"""),"República Centroafricana (la)")</f>
        <v>República Centroafricana (la)</v>
      </c>
      <c r="J43" s="14" t="str">
        <f ca="1">IFERROR(__xludf.DUMMYFUNCTION("""COMPUTED_VALUE"""),"Keski-Afrikan tasavalta")</f>
        <v>Keski-Afrikan tasavalta</v>
      </c>
      <c r="K43" s="14" t="str">
        <f ca="1">IFERROR(__xludf.DUMMYFUNCTION("""COMPUTED_VALUE"""),"Κεντροαφρικανική Δημοκρατία")</f>
        <v>Κεντροαφρικανική Δημοκρατία</v>
      </c>
      <c r="L43" s="14" t="str">
        <f ca="1">IFERROR(__xludf.DUMMYFUNCTION("""COMPUTED_VALUE"""),"ΚΕΝΤΡΟΑΦΡΙΚΑΝΙΚΗ ΔΗΜΟΚΡΑΤΙΑ")</f>
        <v>ΚΕΝΤΡΟΑΦΡΙΚΑΝΙΚΗ ΔΗΜΟΚΡΑΤΙΑ</v>
      </c>
      <c r="M43" s="14" t="str">
        <f ca="1">IFERROR(__xludf.DUMMYFUNCTION("""COMPUTED_VALUE"""),"Srednjoafrička republika")</f>
        <v>Srednjoafrička republika</v>
      </c>
      <c r="N43" s="14" t="str">
        <f ca="1">IFERROR(__xludf.DUMMYFUNCTION("""COMPUTED_VALUE"""),"Közép-Afrika")</f>
        <v>Közép-Afrika</v>
      </c>
      <c r="O43" s="14" t="str">
        <f ca="1">IFERROR(__xludf.DUMMYFUNCTION("""COMPUTED_VALUE"""),"Afrika Tengah, Republik")</f>
        <v>Afrika Tengah, Republik</v>
      </c>
      <c r="P43" s="14" t="str">
        <f ca="1">IFERROR(__xludf.DUMMYFUNCTION("""COMPUTED_VALUE"""),"Rep. Centrafricana")</f>
        <v>Rep. Centrafricana</v>
      </c>
      <c r="Q43" s="14" t="str">
        <f ca="1">IFERROR(__xludf.DUMMYFUNCTION("""COMPUTED_VALUE"""),"중앙아프리카 공화국")</f>
        <v>중앙아프리카 공화국</v>
      </c>
      <c r="R43" s="14" t="str">
        <f ca="1">IFERROR(__xludf.DUMMYFUNCTION("""COMPUTED_VALUE"""),"Republika Środkowoafrykańska")</f>
        <v>Republika Środkowoafrykańska</v>
      </c>
      <c r="S43" s="14" t="str">
        <f ca="1">IFERROR(__xludf.DUMMYFUNCTION("""COMPUTED_VALUE"""),"Centro-Africana, República")</f>
        <v>Centro-Africana, República</v>
      </c>
      <c r="T43" s="14" t="str">
        <f ca="1">IFERROR(__xludf.DUMMYFUNCTION("""COMPUTED_VALUE"""),"Republica Centrafricană")</f>
        <v>Republica Centrafricană</v>
      </c>
      <c r="U43" s="14" t="str">
        <f ca="1">IFERROR(__xludf.DUMMYFUNCTION("""COMPUTED_VALUE"""),"Centralnoafrička Republika")</f>
        <v>Centralnoafrička Republika</v>
      </c>
      <c r="V43" s="14" t="str">
        <f ca="1">IFERROR(__xludf.DUMMYFUNCTION("""COMPUTED_VALUE"""),"ЦАР")</f>
        <v>ЦАР</v>
      </c>
      <c r="W43" s="14" t="str">
        <f ca="1">IFERROR(__xludf.DUMMYFUNCTION("""COMPUTED_VALUE"""),"Centralafrikanska republiken")</f>
        <v>Centralafrikanska republiken</v>
      </c>
      <c r="X43" s="14" t="str">
        <f ca="1">IFERROR(__xludf.DUMMYFUNCTION("""COMPUTED_VALUE"""),"Srednjeafriška republika")</f>
        <v>Srednjeafriška republika</v>
      </c>
      <c r="Y43" s="14" t="str">
        <f ca="1">IFERROR(__xludf.DUMMYFUNCTION("""COMPUTED_VALUE"""),"Stredoafrická republika")</f>
        <v>Stredoafrická republika</v>
      </c>
      <c r="Z43" s="14" t="str">
        <f ca="1">IFERROR(__xludf.DUMMYFUNCTION("""COMPUTED_VALUE"""),"สาธารณรัฐแอฟริกากลาง")</f>
        <v>สาธารณรัฐแอฟริกากลาง</v>
      </c>
      <c r="AA43" s="14" t="str">
        <f ca="1">IFERROR(__xludf.DUMMYFUNCTION("""COMPUTED_VALUE"""),"Orta Afrika Cumhuriyeti")</f>
        <v>Orta Afrika Cumhuriyeti</v>
      </c>
      <c r="AB43" s="14" t="str">
        <f ca="1">IFERROR(__xludf.DUMMYFUNCTION("""COMPUTED_VALUE"""),"ORTA AFRİKA CUMHURİYETİ")</f>
        <v>ORTA AFRİKA CUMHURİYETİ</v>
      </c>
      <c r="AC43" s="14" t="str">
        <f ca="1">IFERROR(__xludf.DUMMYFUNCTION("""COMPUTED_VALUE"""),"Центральноафриканська Республіка")</f>
        <v>Центральноафриканська Республіка</v>
      </c>
      <c r="AD43" s="14" t="str">
        <f ca="1">IFERROR(__xludf.DUMMYFUNCTION("""COMPUTED_VALUE"""),"Cộng hòa Trung Phi")</f>
        <v>Cộng hòa Trung Phi</v>
      </c>
      <c r="AE43" s="14" t="str">
        <f ca="1">IFERROR(__xludf.DUMMYFUNCTION("""COMPUTED_VALUE"""),"Орталық Африка Республикасы")</f>
        <v>Орталық Африка Республикасы</v>
      </c>
      <c r="AF43" s="14"/>
    </row>
    <row r="44" spans="1:32" ht="13" x14ac:dyDescent="0.15">
      <c r="A44" s="14" t="str">
        <f ca="1">IFERROR(__xludf.DUMMYFUNCTION("""COMPUTED_VALUE"""),"CG")</f>
        <v>CG</v>
      </c>
      <c r="B44" s="14" t="str">
        <f ca="1">IFERROR(__xludf.DUMMYFUNCTION("""COMPUTED_VALUE"""),"Congo")</f>
        <v>Congo</v>
      </c>
      <c r="C44" s="14" t="str">
        <f ca="1">IFERROR(__xludf.DUMMYFUNCTION("""COMPUTED_VALUE"""),"الكونغو - برازافيل")</f>
        <v>الكونغو - برازافيل</v>
      </c>
      <c r="D44" s="14" t="str">
        <f ca="1">IFERROR(__xludf.DUMMYFUNCTION("""COMPUTED_VALUE"""),"Република Конго")</f>
        <v>Република Конго</v>
      </c>
      <c r="E44" s="14" t="str">
        <f ca="1">IFERROR(__xludf.DUMMYFUNCTION("""COMPUTED_VALUE"""),"Congo, República do")</f>
        <v>Congo, República do</v>
      </c>
      <c r="F44" s="14" t="str">
        <f ca="1">IFERROR(__xludf.DUMMYFUNCTION("""COMPUTED_VALUE"""),"Рэспубліка Конга")</f>
        <v>Рэспубліка Конга</v>
      </c>
      <c r="G44" s="14" t="str">
        <f ca="1">IFERROR(__xludf.DUMMYFUNCTION("""COMPUTED_VALUE"""),"Kongo")</f>
        <v>Kongo</v>
      </c>
      <c r="H44" s="14" t="str">
        <f ca="1">IFERROR(__xludf.DUMMYFUNCTION("""COMPUTED_VALUE"""),"Kongo, Republik (ehem. K.-Brazzaville)")</f>
        <v>Kongo, Republik (ehem. K.-Brazzaville)</v>
      </c>
      <c r="I44" s="14" t="str">
        <f ca="1">IFERROR(__xludf.DUMMYFUNCTION("""COMPUTED_VALUE"""),"Congo (el)")</f>
        <v>Congo (el)</v>
      </c>
      <c r="J44" s="14" t="str">
        <f ca="1">IFERROR(__xludf.DUMMYFUNCTION("""COMPUTED_VALUE"""),"Kongon tasavalta")</f>
        <v>Kongon tasavalta</v>
      </c>
      <c r="K44" s="14" t="str">
        <f ca="1">IFERROR(__xludf.DUMMYFUNCTION("""COMPUTED_VALUE"""),"Κογκό")</f>
        <v>Κογκό</v>
      </c>
      <c r="L44" s="14" t="str">
        <f ca="1">IFERROR(__xludf.DUMMYFUNCTION("""COMPUTED_VALUE"""),"ΚΟΓΚΟ")</f>
        <v>ΚΟΓΚΟ</v>
      </c>
      <c r="M44" s="14" t="str">
        <f ca="1">IFERROR(__xludf.DUMMYFUNCTION("""COMPUTED_VALUE"""),"Kongo")</f>
        <v>Kongo</v>
      </c>
      <c r="N44" s="14" t="str">
        <f ca="1">IFERROR(__xludf.DUMMYFUNCTION("""COMPUTED_VALUE"""),"Kongói Köztársaság (Kongó)")</f>
        <v>Kongói Köztársaság (Kongó)</v>
      </c>
      <c r="O44" s="14" t="str">
        <f ca="1">IFERROR(__xludf.DUMMYFUNCTION("""COMPUTED_VALUE"""),"Kongo, Republik")</f>
        <v>Kongo, Republik</v>
      </c>
      <c r="P44" s="14" t="str">
        <f ca="1">IFERROR(__xludf.DUMMYFUNCTION("""COMPUTED_VALUE"""),"Rep. del Congo")</f>
        <v>Rep. del Congo</v>
      </c>
      <c r="Q44" s="14" t="str">
        <f ca="1">IFERROR(__xludf.DUMMYFUNCTION("""COMPUTED_VALUE"""),"콩고 공화국")</f>
        <v>콩고 공화국</v>
      </c>
      <c r="R44" s="14" t="str">
        <f ca="1">IFERROR(__xludf.DUMMYFUNCTION("""COMPUTED_VALUE"""),"Kongo")</f>
        <v>Kongo</v>
      </c>
      <c r="S44" s="14" t="str">
        <f ca="1">IFERROR(__xludf.DUMMYFUNCTION("""COMPUTED_VALUE"""),"Congo, República do")</f>
        <v>Congo, República do</v>
      </c>
      <c r="T44" s="14" t="str">
        <f ca="1">IFERROR(__xludf.DUMMYFUNCTION("""COMPUTED_VALUE"""),"Congo")</f>
        <v>Congo</v>
      </c>
      <c r="U44" s="14" t="str">
        <f ca="1">IFERROR(__xludf.DUMMYFUNCTION("""COMPUTED_VALUE"""),"Kongo")</f>
        <v>Kongo</v>
      </c>
      <c r="V44" s="14" t="str">
        <f ca="1">IFERROR(__xludf.DUMMYFUNCTION("""COMPUTED_VALUE"""),"Республика Конго")</f>
        <v>Республика Конго</v>
      </c>
      <c r="W44" s="14" t="str">
        <f ca="1">IFERROR(__xludf.DUMMYFUNCTION("""COMPUTED_VALUE"""),"Kongo-Brazzaville")</f>
        <v>Kongo-Brazzaville</v>
      </c>
      <c r="X44" s="14" t="str">
        <f ca="1">IFERROR(__xludf.DUMMYFUNCTION("""COMPUTED_VALUE"""),"Kongo")</f>
        <v>Kongo</v>
      </c>
      <c r="Y44" s="14" t="str">
        <f ca="1">IFERROR(__xludf.DUMMYFUNCTION("""COMPUTED_VALUE"""),"Kongo")</f>
        <v>Kongo</v>
      </c>
      <c r="Z44" s="14" t="str">
        <f ca="1">IFERROR(__xludf.DUMMYFUNCTION("""COMPUTED_VALUE"""),"สาธารณรัฐคองโก")</f>
        <v>สาธารณรัฐคองโก</v>
      </c>
      <c r="AA44" s="14" t="str">
        <f ca="1">IFERROR(__xludf.DUMMYFUNCTION("""COMPUTED_VALUE"""),"Kongo")</f>
        <v>Kongo</v>
      </c>
      <c r="AB44" s="14" t="str">
        <f ca="1">IFERROR(__xludf.DUMMYFUNCTION("""COMPUTED_VALUE"""),"KONGO")</f>
        <v>KONGO</v>
      </c>
      <c r="AC44" s="14" t="str">
        <f ca="1">IFERROR(__xludf.DUMMYFUNCTION("""COMPUTED_VALUE"""),"Республіка Конго")</f>
        <v>Республіка Конго</v>
      </c>
      <c r="AD44" s="14" t="str">
        <f ca="1">IFERROR(__xludf.DUMMYFUNCTION("""COMPUTED_VALUE"""),"Congo")</f>
        <v>Congo</v>
      </c>
      <c r="AE44" s="14" t="str">
        <f ca="1">IFERROR(__xludf.DUMMYFUNCTION("""COMPUTED_VALUE"""),"Конго Республикасы")</f>
        <v>Конго Республикасы</v>
      </c>
      <c r="AF44" s="14"/>
    </row>
    <row r="45" spans="1:32" ht="13" x14ac:dyDescent="0.15">
      <c r="A45" s="14" t="str">
        <f ca="1">IFERROR(__xludf.DUMMYFUNCTION("""COMPUTED_VALUE"""),"CH")</f>
        <v>CH</v>
      </c>
      <c r="B45" s="14" t="str">
        <f ca="1">IFERROR(__xludf.DUMMYFUNCTION("""COMPUTED_VALUE"""),"Switzerland")</f>
        <v>Switzerland</v>
      </c>
      <c r="C45" s="14" t="str">
        <f ca="1">IFERROR(__xludf.DUMMYFUNCTION("""COMPUTED_VALUE"""),"سويسرا")</f>
        <v>سويسرا</v>
      </c>
      <c r="D45" s="14" t="str">
        <f ca="1">IFERROR(__xludf.DUMMYFUNCTION("""COMPUTED_VALUE"""),"Швейцария")</f>
        <v>Швейцария</v>
      </c>
      <c r="E45" s="14" t="str">
        <f ca="1">IFERROR(__xludf.DUMMYFUNCTION("""COMPUTED_VALUE"""),"Suíça")</f>
        <v>Suíça</v>
      </c>
      <c r="F45" s="14" t="str">
        <f ca="1">IFERROR(__xludf.DUMMYFUNCTION("""COMPUTED_VALUE"""),"Швейцарыя")</f>
        <v>Швейцарыя</v>
      </c>
      <c r="G45" s="14" t="str">
        <f ca="1">IFERROR(__xludf.DUMMYFUNCTION("""COMPUTED_VALUE"""),"Švýcarsko")</f>
        <v>Švýcarsko</v>
      </c>
      <c r="H45" s="14" t="str">
        <f ca="1">IFERROR(__xludf.DUMMYFUNCTION("""COMPUTED_VALUE"""),"Schweiz")</f>
        <v>Schweiz</v>
      </c>
      <c r="I45" s="14" t="str">
        <f ca="1">IFERROR(__xludf.DUMMYFUNCTION("""COMPUTED_VALUE"""),"Suiza")</f>
        <v>Suiza</v>
      </c>
      <c r="J45" s="14" t="str">
        <f ca="1">IFERROR(__xludf.DUMMYFUNCTION("""COMPUTED_VALUE"""),"Sveitsi")</f>
        <v>Sveitsi</v>
      </c>
      <c r="K45" s="14" t="str">
        <f ca="1">IFERROR(__xludf.DUMMYFUNCTION("""COMPUTED_VALUE"""),"Ελβετία")</f>
        <v>Ελβετία</v>
      </c>
      <c r="L45" s="14" t="str">
        <f ca="1">IFERROR(__xludf.DUMMYFUNCTION("""COMPUTED_VALUE"""),"ΕΛΒΕΤΙΑ")</f>
        <v>ΕΛΒΕΤΙΑ</v>
      </c>
      <c r="M45" s="14" t="str">
        <f ca="1">IFERROR(__xludf.DUMMYFUNCTION("""COMPUTED_VALUE"""),"Švicarska")</f>
        <v>Švicarska</v>
      </c>
      <c r="N45" s="14" t="str">
        <f ca="1">IFERROR(__xludf.DUMMYFUNCTION("""COMPUTED_VALUE"""),"Svájc")</f>
        <v>Svájc</v>
      </c>
      <c r="O45" s="14" t="str">
        <f ca="1">IFERROR(__xludf.DUMMYFUNCTION("""COMPUTED_VALUE"""),"Swiss")</f>
        <v>Swiss</v>
      </c>
      <c r="P45" s="14" t="str">
        <f ca="1">IFERROR(__xludf.DUMMYFUNCTION("""COMPUTED_VALUE"""),"Svizzera")</f>
        <v>Svizzera</v>
      </c>
      <c r="Q45" s="14" t="str">
        <f ca="1">IFERROR(__xludf.DUMMYFUNCTION("""COMPUTED_VALUE"""),"스위스")</f>
        <v>스위스</v>
      </c>
      <c r="R45" s="14" t="str">
        <f ca="1">IFERROR(__xludf.DUMMYFUNCTION("""COMPUTED_VALUE"""),"Szwajcaria")</f>
        <v>Szwajcaria</v>
      </c>
      <c r="S45" s="14" t="str">
        <f ca="1">IFERROR(__xludf.DUMMYFUNCTION("""COMPUTED_VALUE"""),"Suíça")</f>
        <v>Suíça</v>
      </c>
      <c r="T45" s="14" t="str">
        <f ca="1">IFERROR(__xludf.DUMMYFUNCTION("""COMPUTED_VALUE"""),"Elveția")</f>
        <v>Elveția</v>
      </c>
      <c r="U45" s="14" t="str">
        <f ca="1">IFERROR(__xludf.DUMMYFUNCTION("""COMPUTED_VALUE"""),"Švajcarska")</f>
        <v>Švajcarska</v>
      </c>
      <c r="V45" s="14" t="str">
        <f ca="1">IFERROR(__xludf.DUMMYFUNCTION("""COMPUTED_VALUE"""),"Швейцария")</f>
        <v>Швейцария</v>
      </c>
      <c r="W45" s="14" t="str">
        <f ca="1">IFERROR(__xludf.DUMMYFUNCTION("""COMPUTED_VALUE"""),"Schweiz")</f>
        <v>Schweiz</v>
      </c>
      <c r="X45" s="14" t="str">
        <f ca="1">IFERROR(__xludf.DUMMYFUNCTION("""COMPUTED_VALUE"""),"Švica")</f>
        <v>Švica</v>
      </c>
      <c r="Y45" s="14" t="str">
        <f ca="1">IFERROR(__xludf.DUMMYFUNCTION("""COMPUTED_VALUE"""),"Švajčiarsko")</f>
        <v>Švajčiarsko</v>
      </c>
      <c r="Z45" s="14" t="str">
        <f ca="1">IFERROR(__xludf.DUMMYFUNCTION("""COMPUTED_VALUE"""),"สวิตเซอร์แลนด์")</f>
        <v>สวิตเซอร์แลนด์</v>
      </c>
      <c r="AA45" s="14" t="str">
        <f ca="1">IFERROR(__xludf.DUMMYFUNCTION("""COMPUTED_VALUE"""),"İsviçre")</f>
        <v>İsviçre</v>
      </c>
      <c r="AB45" s="14" t="str">
        <f ca="1">IFERROR(__xludf.DUMMYFUNCTION("""COMPUTED_VALUE"""),"İSVİÇRE")</f>
        <v>İSVİÇRE</v>
      </c>
      <c r="AC45" s="14" t="str">
        <f ca="1">IFERROR(__xludf.DUMMYFUNCTION("""COMPUTED_VALUE"""),"Швейцарія")</f>
        <v>Швейцарія</v>
      </c>
      <c r="AD45" s="14" t="str">
        <f ca="1">IFERROR(__xludf.DUMMYFUNCTION("""COMPUTED_VALUE"""),"Thụy Sĩ")</f>
        <v>Thụy Sĩ</v>
      </c>
      <c r="AE45" s="14" t="str">
        <f ca="1">IFERROR(__xludf.DUMMYFUNCTION("""COMPUTED_VALUE"""),"Швейцария")</f>
        <v>Швейцария</v>
      </c>
      <c r="AF45" s="14"/>
    </row>
    <row r="46" spans="1:32" ht="13" x14ac:dyDescent="0.15">
      <c r="A46" s="14" t="str">
        <f ca="1">IFERROR(__xludf.DUMMYFUNCTION("""COMPUTED_VALUE"""),"CI")</f>
        <v>CI</v>
      </c>
      <c r="B46" s="14" t="str">
        <f ca="1">IFERROR(__xludf.DUMMYFUNCTION("""COMPUTED_VALUE"""),"Côte d’Ivoire")</f>
        <v>Côte d’Ivoire</v>
      </c>
      <c r="C46" s="14" t="str">
        <f ca="1">IFERROR(__xludf.DUMMYFUNCTION("""COMPUTED_VALUE"""),"ساحل العاج")</f>
        <v>ساحل العاج</v>
      </c>
      <c r="D46" s="14" t="str">
        <f ca="1">IFERROR(__xludf.DUMMYFUNCTION("""COMPUTED_VALUE"""),"Кот д’Ивоар")</f>
        <v>Кот д’Ивоар</v>
      </c>
      <c r="E46" s="14" t="str">
        <f ca="1">IFERROR(__xludf.DUMMYFUNCTION("""COMPUTED_VALUE"""),"Costa do Marfim")</f>
        <v>Costa do Marfim</v>
      </c>
      <c r="F46" s="14" t="str">
        <f ca="1">IFERROR(__xludf.DUMMYFUNCTION("""COMPUTED_VALUE"""),"Кот-д’Івуар")</f>
        <v>Кот-д’Івуар</v>
      </c>
      <c r="G46" s="14" t="str">
        <f ca="1">IFERROR(__xludf.DUMMYFUNCTION("""COMPUTED_VALUE"""),"Pobřeží slonoviny")</f>
        <v>Pobřeží slonoviny</v>
      </c>
      <c r="H46" s="14" t="str">
        <f ca="1">IFERROR(__xludf.DUMMYFUNCTION("""COMPUTED_VALUE"""),"Côte d’Ivoire (Elfenbeinküste)")</f>
        <v>Côte d’Ivoire (Elfenbeinküste)</v>
      </c>
      <c r="I46" s="14" t="str">
        <f ca="1">IFERROR(__xludf.DUMMYFUNCTION("""COMPUTED_VALUE"""),"Côte d’Ivoire")</f>
        <v>Côte d’Ivoire</v>
      </c>
      <c r="J46" s="14" t="str">
        <f ca="1">IFERROR(__xludf.DUMMYFUNCTION("""COMPUTED_VALUE"""),"Norsunluurannikko")</f>
        <v>Norsunluurannikko</v>
      </c>
      <c r="K46" s="14" t="str">
        <f ca="1">IFERROR(__xludf.DUMMYFUNCTION("""COMPUTED_VALUE"""),"Ακτή Ελεφαντοστού")</f>
        <v>Ακτή Ελεφαντοστού</v>
      </c>
      <c r="L46" s="14" t="str">
        <f ca="1">IFERROR(__xludf.DUMMYFUNCTION("""COMPUTED_VALUE"""),"ΑΚΤΗ ΕΛΕΦΑΝΤΟΣΤΟΥ")</f>
        <v>ΑΚΤΗ ΕΛΕΦΑΝΤΟΣΤΟΥ</v>
      </c>
      <c r="M46" s="14" t="str">
        <f ca="1">IFERROR(__xludf.DUMMYFUNCTION("""COMPUTED_VALUE"""),"Bjelokosna obala")</f>
        <v>Bjelokosna obala</v>
      </c>
      <c r="N46" s="14" t="str">
        <f ca="1">IFERROR(__xludf.DUMMYFUNCTION("""COMPUTED_VALUE"""),"Elefántcsontpart")</f>
        <v>Elefántcsontpart</v>
      </c>
      <c r="O46" s="14" t="str">
        <f ca="1">IFERROR(__xludf.DUMMYFUNCTION("""COMPUTED_VALUE"""),"Pantai Gading")</f>
        <v>Pantai Gading</v>
      </c>
      <c r="P46" s="14" t="str">
        <f ca="1">IFERROR(__xludf.DUMMYFUNCTION("""COMPUTED_VALUE"""),"Costa d’Avorio")</f>
        <v>Costa d’Avorio</v>
      </c>
      <c r="Q46" s="14" t="str">
        <f ca="1">IFERROR(__xludf.DUMMYFUNCTION("""COMPUTED_VALUE"""),"코트디부아르")</f>
        <v>코트디부아르</v>
      </c>
      <c r="R46" s="14" t="str">
        <f ca="1">IFERROR(__xludf.DUMMYFUNCTION("""COMPUTED_VALUE"""),"Wybrzeże Kości Słoniowej")</f>
        <v>Wybrzeże Kości Słoniowej</v>
      </c>
      <c r="S46" s="14" t="str">
        <f ca="1">IFERROR(__xludf.DUMMYFUNCTION("""COMPUTED_VALUE"""),"Costa do Marfim")</f>
        <v>Costa do Marfim</v>
      </c>
      <c r="T46" s="14" t="str">
        <f ca="1">IFERROR(__xludf.DUMMYFUNCTION("""COMPUTED_VALUE"""),"Coasta de Fildeș")</f>
        <v>Coasta de Fildeș</v>
      </c>
      <c r="U46" s="14" t="str">
        <f ca="1">IFERROR(__xludf.DUMMYFUNCTION("""COMPUTED_VALUE"""),"Obala slonovače")</f>
        <v>Obala slonovače</v>
      </c>
      <c r="V46" s="14" t="str">
        <f ca="1">IFERROR(__xludf.DUMMYFUNCTION("""COMPUTED_VALUE"""),"Кот-д’Ивуар")</f>
        <v>Кот-д’Ивуар</v>
      </c>
      <c r="W46" s="14" t="str">
        <f ca="1">IFERROR(__xludf.DUMMYFUNCTION("""COMPUTED_VALUE"""),"Elfenbenskusten")</f>
        <v>Elfenbenskusten</v>
      </c>
      <c r="X46" s="14" t="str">
        <f ca="1">IFERROR(__xludf.DUMMYFUNCTION("""COMPUTED_VALUE"""),"Slonokoščena obala")</f>
        <v>Slonokoščena obala</v>
      </c>
      <c r="Y46" s="14" t="str">
        <f ca="1">IFERROR(__xludf.DUMMYFUNCTION("""COMPUTED_VALUE"""),"Pobrežie Slonoviny")</f>
        <v>Pobrežie Slonoviny</v>
      </c>
      <c r="Z46" s="14" t="str">
        <f ca="1">IFERROR(__xludf.DUMMYFUNCTION("""COMPUTED_VALUE"""),"โกตดิวัวร์")</f>
        <v>โกตดิวัวร์</v>
      </c>
      <c r="AA46" s="14" t="str">
        <f ca="1">IFERROR(__xludf.DUMMYFUNCTION("""COMPUTED_VALUE"""),"Fildişi Sahili")</f>
        <v>Fildişi Sahili</v>
      </c>
      <c r="AB46" s="14" t="str">
        <f ca="1">IFERROR(__xludf.DUMMYFUNCTION("""COMPUTED_VALUE"""),"FİLDİŞİ SAHİLİ")</f>
        <v>FİLDİŞİ SAHİLİ</v>
      </c>
      <c r="AC46" s="14" t="str">
        <f ca="1">IFERROR(__xludf.DUMMYFUNCTION("""COMPUTED_VALUE"""),"Кот-д’Івуар")</f>
        <v>Кот-д’Івуар</v>
      </c>
      <c r="AD46" s="14" t="str">
        <f ca="1">IFERROR(__xludf.DUMMYFUNCTION("""COMPUTED_VALUE"""),"Cốt Đi-voa")</f>
        <v>Cốt Đi-voa</v>
      </c>
      <c r="AE46" s="14" t="str">
        <f ca="1">IFERROR(__xludf.DUMMYFUNCTION("""COMPUTED_VALUE"""),"Кот-д’Ивуар")</f>
        <v>Кот-д’Ивуар</v>
      </c>
      <c r="AF46" s="14"/>
    </row>
    <row r="47" spans="1:32" ht="13" x14ac:dyDescent="0.15">
      <c r="A47" s="14" t="str">
        <f ca="1">IFERROR(__xludf.DUMMYFUNCTION("""COMPUTED_VALUE"""),"CK")</f>
        <v>CK</v>
      </c>
      <c r="B47" s="14" t="str">
        <f ca="1">IFERROR(__xludf.DUMMYFUNCTION("""COMPUTED_VALUE"""),"Cook Islands")</f>
        <v>Cook Islands</v>
      </c>
      <c r="C47" s="14" t="str">
        <f ca="1">IFERROR(__xludf.DUMMYFUNCTION("""COMPUTED_VALUE"""),"جزر كوك")</f>
        <v>جزر كوك</v>
      </c>
      <c r="D47" s="14" t="str">
        <f ca="1">IFERROR(__xludf.DUMMYFUNCTION("""COMPUTED_VALUE"""),"Острови Кук")</f>
        <v>Острови Кук</v>
      </c>
      <c r="E47" s="14" t="str">
        <f ca="1">IFERROR(__xludf.DUMMYFUNCTION("""COMPUTED_VALUE"""),"Cook, Ilhas")</f>
        <v>Cook, Ilhas</v>
      </c>
      <c r="F47" s="14" t="str">
        <f ca="1">IFERROR(__xludf.DUMMYFUNCTION("""COMPUTED_VALUE"""),"Астравы Кука")</f>
        <v>Астравы Кука</v>
      </c>
      <c r="G47" s="14" t="str">
        <f ca="1">IFERROR(__xludf.DUMMYFUNCTION("""COMPUTED_VALUE"""),"Cookovy ostrovy")</f>
        <v>Cookovy ostrovy</v>
      </c>
      <c r="H47" s="14" t="str">
        <f ca="1">IFERROR(__xludf.DUMMYFUNCTION("""COMPUTED_VALUE"""),"Cookinseln")</f>
        <v>Cookinseln</v>
      </c>
      <c r="I47" s="14" t="str">
        <f ca="1">IFERROR(__xludf.DUMMYFUNCTION("""COMPUTED_VALUE"""),"Cook, (las) Islas")</f>
        <v>Cook, (las) Islas</v>
      </c>
      <c r="J47" s="14" t="str">
        <f ca="1">IFERROR(__xludf.DUMMYFUNCTION("""COMPUTED_VALUE"""),"Cookinsaaret")</f>
        <v>Cookinsaaret</v>
      </c>
      <c r="K47" s="14" t="str">
        <f ca="1">IFERROR(__xludf.DUMMYFUNCTION("""COMPUTED_VALUE"""),"Νήσοι Κουκ")</f>
        <v>Νήσοι Κουκ</v>
      </c>
      <c r="L47" s="14" t="str">
        <f ca="1">IFERROR(__xludf.DUMMYFUNCTION("""COMPUTED_VALUE"""),"ΝΗΣΟΙ ΚΟΥΚ")</f>
        <v>ΝΗΣΟΙ ΚΟΥΚ</v>
      </c>
      <c r="M47" s="14" t="str">
        <f ca="1">IFERROR(__xludf.DUMMYFUNCTION("""COMPUTED_VALUE"""),"Kukovi otoci")</f>
        <v>Kukovi otoci</v>
      </c>
      <c r="N47" s="14" t="str">
        <f ca="1">IFERROR(__xludf.DUMMYFUNCTION("""COMPUTED_VALUE"""),"Cook-szigetek")</f>
        <v>Cook-szigetek</v>
      </c>
      <c r="O47" s="14" t="str">
        <f ca="1">IFERROR(__xludf.DUMMYFUNCTION("""COMPUTED_VALUE"""),"Cook, Kepulauan")</f>
        <v>Cook, Kepulauan</v>
      </c>
      <c r="P47" s="14" t="str">
        <f ca="1">IFERROR(__xludf.DUMMYFUNCTION("""COMPUTED_VALUE"""),"Isole Cook")</f>
        <v>Isole Cook</v>
      </c>
      <c r="Q47" s="14" t="str">
        <f ca="1">IFERROR(__xludf.DUMMYFUNCTION("""COMPUTED_VALUE"""),"쿡 제도")</f>
        <v>쿡 제도</v>
      </c>
      <c r="R47" s="14" t="str">
        <f ca="1">IFERROR(__xludf.DUMMYFUNCTION("""COMPUTED_VALUE"""),"Wyspy Cooka")</f>
        <v>Wyspy Cooka</v>
      </c>
      <c r="S47" s="14" t="str">
        <f ca="1">IFERROR(__xludf.DUMMYFUNCTION("""COMPUTED_VALUE"""),"Cook, Ilhas")</f>
        <v>Cook, Ilhas</v>
      </c>
      <c r="T47" s="14" t="str">
        <f ca="1">IFERROR(__xludf.DUMMYFUNCTION("""COMPUTED_VALUE"""),"Insulele Cook")</f>
        <v>Insulele Cook</v>
      </c>
      <c r="U47" s="14" t="str">
        <f ca="1">IFERROR(__xludf.DUMMYFUNCTION("""COMPUTED_VALUE"""),"Kukova ostrva")</f>
        <v>Kukova ostrva</v>
      </c>
      <c r="V47" s="14" t="str">
        <f ca="1">IFERROR(__xludf.DUMMYFUNCTION("""COMPUTED_VALUE"""),"Острова Кука")</f>
        <v>Острова Кука</v>
      </c>
      <c r="W47" s="14" t="str">
        <f ca="1">IFERROR(__xludf.DUMMYFUNCTION("""COMPUTED_VALUE"""),"Cooköarna")</f>
        <v>Cooköarna</v>
      </c>
      <c r="X47" s="14" t="str">
        <f ca="1">IFERROR(__xludf.DUMMYFUNCTION("""COMPUTED_VALUE"""),"Cookovo otočje")</f>
        <v>Cookovo otočje</v>
      </c>
      <c r="Y47" s="14" t="str">
        <f ca="1">IFERROR(__xludf.DUMMYFUNCTION("""COMPUTED_VALUE"""),"Cookove ostrovy")</f>
        <v>Cookove ostrovy</v>
      </c>
      <c r="Z47" s="14" t="str">
        <f ca="1">IFERROR(__xludf.DUMMYFUNCTION("""COMPUTED_VALUE"""),"หมู่เกาะคุก")</f>
        <v>หมู่เกาะคุก</v>
      </c>
      <c r="AA47" s="14" t="str">
        <f ca="1">IFERROR(__xludf.DUMMYFUNCTION("""COMPUTED_VALUE"""),"Cook Adaları")</f>
        <v>Cook Adaları</v>
      </c>
      <c r="AB47" s="14" t="str">
        <f ca="1">IFERROR(__xludf.DUMMYFUNCTION("""COMPUTED_VALUE"""),"COOK ADALARI")</f>
        <v>COOK ADALARI</v>
      </c>
      <c r="AC47" s="14" t="str">
        <f ca="1">IFERROR(__xludf.DUMMYFUNCTION("""COMPUTED_VALUE"""),"Острови Кука")</f>
        <v>Острови Кука</v>
      </c>
      <c r="AD47" s="14" t="str">
        <f ca="1">IFERROR(__xludf.DUMMYFUNCTION("""COMPUTED_VALUE"""),"Đảo Cook")</f>
        <v>Đảo Cook</v>
      </c>
      <c r="AE47" s="14" t="str">
        <f ca="1">IFERROR(__xludf.DUMMYFUNCTION("""COMPUTED_VALUE"""),"Кук аралдары")</f>
        <v>Кук аралдары</v>
      </c>
      <c r="AF47" s="14"/>
    </row>
    <row r="48" spans="1:32" ht="13" x14ac:dyDescent="0.15">
      <c r="A48" s="14" t="str">
        <f ca="1">IFERROR(__xludf.DUMMYFUNCTION("""COMPUTED_VALUE"""),"CL")</f>
        <v>CL</v>
      </c>
      <c r="B48" s="14" t="str">
        <f ca="1">IFERROR(__xludf.DUMMYFUNCTION("""COMPUTED_VALUE"""),"Chile")</f>
        <v>Chile</v>
      </c>
      <c r="C48" s="14" t="str">
        <f ca="1">IFERROR(__xludf.DUMMYFUNCTION("""COMPUTED_VALUE"""),"شيلي")</f>
        <v>شيلي</v>
      </c>
      <c r="D48" s="14" t="str">
        <f ca="1">IFERROR(__xludf.DUMMYFUNCTION("""COMPUTED_VALUE"""),"Чили")</f>
        <v>Чили</v>
      </c>
      <c r="E48" s="14" t="str">
        <f ca="1">IFERROR(__xludf.DUMMYFUNCTION("""COMPUTED_VALUE"""),"Chile")</f>
        <v>Chile</v>
      </c>
      <c r="F48" s="14" t="str">
        <f ca="1">IFERROR(__xludf.DUMMYFUNCTION("""COMPUTED_VALUE"""),"Чылі")</f>
        <v>Чылі</v>
      </c>
      <c r="G48" s="14" t="str">
        <f ca="1">IFERROR(__xludf.DUMMYFUNCTION("""COMPUTED_VALUE"""),"Chile")</f>
        <v>Chile</v>
      </c>
      <c r="H48" s="14" t="str">
        <f ca="1">IFERROR(__xludf.DUMMYFUNCTION("""COMPUTED_VALUE"""),"Chile")</f>
        <v>Chile</v>
      </c>
      <c r="I48" s="14" t="str">
        <f ca="1">IFERROR(__xludf.DUMMYFUNCTION("""COMPUTED_VALUE"""),"Chile")</f>
        <v>Chile</v>
      </c>
      <c r="J48" s="14" t="str">
        <f ca="1">IFERROR(__xludf.DUMMYFUNCTION("""COMPUTED_VALUE"""),"Chile")</f>
        <v>Chile</v>
      </c>
      <c r="K48" s="14" t="str">
        <f ca="1">IFERROR(__xludf.DUMMYFUNCTION("""COMPUTED_VALUE"""),"Χιλή")</f>
        <v>Χιλή</v>
      </c>
      <c r="L48" s="14" t="str">
        <f ca="1">IFERROR(__xludf.DUMMYFUNCTION("""COMPUTED_VALUE"""),"ΧΙΛΗ")</f>
        <v>ΧΙΛΗ</v>
      </c>
      <c r="M48" s="14" t="str">
        <f ca="1">IFERROR(__xludf.DUMMYFUNCTION("""COMPUTED_VALUE"""),"Čile")</f>
        <v>Čile</v>
      </c>
      <c r="N48" s="14" t="str">
        <f ca="1">IFERROR(__xludf.DUMMYFUNCTION("""COMPUTED_VALUE"""),"Chile")</f>
        <v>Chile</v>
      </c>
      <c r="O48" s="14" t="str">
        <f ca="1">IFERROR(__xludf.DUMMYFUNCTION("""COMPUTED_VALUE"""),"Chili")</f>
        <v>Chili</v>
      </c>
      <c r="P48" s="14" t="str">
        <f ca="1">IFERROR(__xludf.DUMMYFUNCTION("""COMPUTED_VALUE"""),"Cile")</f>
        <v>Cile</v>
      </c>
      <c r="Q48" s="14" t="str">
        <f ca="1">IFERROR(__xludf.DUMMYFUNCTION("""COMPUTED_VALUE"""),"칠레")</f>
        <v>칠레</v>
      </c>
      <c r="R48" s="14" t="str">
        <f ca="1">IFERROR(__xludf.DUMMYFUNCTION("""COMPUTED_VALUE"""),"Chile")</f>
        <v>Chile</v>
      </c>
      <c r="S48" s="14" t="str">
        <f ca="1">IFERROR(__xludf.DUMMYFUNCTION("""COMPUTED_VALUE"""),"Chile")</f>
        <v>Chile</v>
      </c>
      <c r="T48" s="14" t="str">
        <f ca="1">IFERROR(__xludf.DUMMYFUNCTION("""COMPUTED_VALUE"""),"Chile")</f>
        <v>Chile</v>
      </c>
      <c r="U48" s="14" t="str">
        <f ca="1">IFERROR(__xludf.DUMMYFUNCTION("""COMPUTED_VALUE"""),"Čile")</f>
        <v>Čile</v>
      </c>
      <c r="V48" s="14" t="str">
        <f ca="1">IFERROR(__xludf.DUMMYFUNCTION("""COMPUTED_VALUE"""),"Чили")</f>
        <v>Чили</v>
      </c>
      <c r="W48" s="14" t="str">
        <f ca="1">IFERROR(__xludf.DUMMYFUNCTION("""COMPUTED_VALUE"""),"Chile")</f>
        <v>Chile</v>
      </c>
      <c r="X48" s="14" t="str">
        <f ca="1">IFERROR(__xludf.DUMMYFUNCTION("""COMPUTED_VALUE"""),"Čile")</f>
        <v>Čile</v>
      </c>
      <c r="Y48" s="14" t="str">
        <f ca="1">IFERROR(__xludf.DUMMYFUNCTION("""COMPUTED_VALUE"""),"Čile")</f>
        <v>Čile</v>
      </c>
      <c r="Z48" s="14" t="str">
        <f ca="1">IFERROR(__xludf.DUMMYFUNCTION("""COMPUTED_VALUE"""),"ชิลี")</f>
        <v>ชิลี</v>
      </c>
      <c r="AA48" s="14" t="str">
        <f ca="1">IFERROR(__xludf.DUMMYFUNCTION("""COMPUTED_VALUE"""),"Şili")</f>
        <v>Şili</v>
      </c>
      <c r="AB48" s="14" t="str">
        <f ca="1">IFERROR(__xludf.DUMMYFUNCTION("""COMPUTED_VALUE"""),"ŞİLİ")</f>
        <v>ŞİLİ</v>
      </c>
      <c r="AC48" s="14" t="str">
        <f ca="1">IFERROR(__xludf.DUMMYFUNCTION("""COMPUTED_VALUE"""),"Чилі")</f>
        <v>Чилі</v>
      </c>
      <c r="AD48" s="14" t="str">
        <f ca="1">IFERROR(__xludf.DUMMYFUNCTION("""COMPUTED_VALUE"""),"Chile")</f>
        <v>Chile</v>
      </c>
      <c r="AE48" s="14" t="str">
        <f ca="1">IFERROR(__xludf.DUMMYFUNCTION("""COMPUTED_VALUE"""),"Чили")</f>
        <v>Чили</v>
      </c>
      <c r="AF48" s="14"/>
    </row>
    <row r="49" spans="1:32" ht="13" x14ac:dyDescent="0.15">
      <c r="A49" s="14" t="str">
        <f ca="1">IFERROR(__xludf.DUMMYFUNCTION("""COMPUTED_VALUE"""),"CM")</f>
        <v>CM</v>
      </c>
      <c r="B49" s="14" t="str">
        <f ca="1">IFERROR(__xludf.DUMMYFUNCTION("""COMPUTED_VALUE"""),"Cameroon")</f>
        <v>Cameroon</v>
      </c>
      <c r="C49" s="14" t="str">
        <f ca="1">IFERROR(__xludf.DUMMYFUNCTION("""COMPUTED_VALUE"""),"الكاميرون")</f>
        <v>الكاميرون</v>
      </c>
      <c r="D49" s="14" t="str">
        <f ca="1">IFERROR(__xludf.DUMMYFUNCTION("""COMPUTED_VALUE"""),"Камерун")</f>
        <v>Камерун</v>
      </c>
      <c r="E49" s="14" t="str">
        <f ca="1">IFERROR(__xludf.DUMMYFUNCTION("""COMPUTED_VALUE"""),"Camarões")</f>
        <v>Camarões</v>
      </c>
      <c r="F49" s="14" t="str">
        <f ca="1">IFERROR(__xludf.DUMMYFUNCTION("""COMPUTED_VALUE"""),"Камерун")</f>
        <v>Камерун</v>
      </c>
      <c r="G49" s="14" t="str">
        <f ca="1">IFERROR(__xludf.DUMMYFUNCTION("""COMPUTED_VALUE"""),"Kamerun")</f>
        <v>Kamerun</v>
      </c>
      <c r="H49" s="14" t="str">
        <f ca="1">IFERROR(__xludf.DUMMYFUNCTION("""COMPUTED_VALUE"""),"Kamerun")</f>
        <v>Kamerun</v>
      </c>
      <c r="I49" s="14" t="str">
        <f ca="1">IFERROR(__xludf.DUMMYFUNCTION("""COMPUTED_VALUE"""),"Camerún")</f>
        <v>Camerún</v>
      </c>
      <c r="J49" s="14" t="str">
        <f ca="1">IFERROR(__xludf.DUMMYFUNCTION("""COMPUTED_VALUE"""),"Kamerun")</f>
        <v>Kamerun</v>
      </c>
      <c r="K49" s="14" t="str">
        <f ca="1">IFERROR(__xludf.DUMMYFUNCTION("""COMPUTED_VALUE"""),"Καμερούν")</f>
        <v>Καμερούν</v>
      </c>
      <c r="L49" s="14" t="str">
        <f ca="1">IFERROR(__xludf.DUMMYFUNCTION("""COMPUTED_VALUE"""),"ΚΑΜΕΡΟΥΝ")</f>
        <v>ΚΑΜΕΡΟΥΝ</v>
      </c>
      <c r="M49" s="14" t="str">
        <f ca="1">IFERROR(__xludf.DUMMYFUNCTION("""COMPUTED_VALUE"""),"Kamerun")</f>
        <v>Kamerun</v>
      </c>
      <c r="N49" s="14" t="str">
        <f ca="1">IFERROR(__xludf.DUMMYFUNCTION("""COMPUTED_VALUE"""),"Kamerun")</f>
        <v>Kamerun</v>
      </c>
      <c r="O49" s="14" t="str">
        <f ca="1">IFERROR(__xludf.DUMMYFUNCTION("""COMPUTED_VALUE"""),"Kamerun")</f>
        <v>Kamerun</v>
      </c>
      <c r="P49" s="14" t="str">
        <f ca="1">IFERROR(__xludf.DUMMYFUNCTION("""COMPUTED_VALUE"""),"Camerun")</f>
        <v>Camerun</v>
      </c>
      <c r="Q49" s="14" t="str">
        <f ca="1">IFERROR(__xludf.DUMMYFUNCTION("""COMPUTED_VALUE"""),"카메룬")</f>
        <v>카메룬</v>
      </c>
      <c r="R49" s="14" t="str">
        <f ca="1">IFERROR(__xludf.DUMMYFUNCTION("""COMPUTED_VALUE"""),"Kamerun")</f>
        <v>Kamerun</v>
      </c>
      <c r="S49" s="14" t="str">
        <f ca="1">IFERROR(__xludf.DUMMYFUNCTION("""COMPUTED_VALUE"""),"Camarões")</f>
        <v>Camarões</v>
      </c>
      <c r="T49" s="14" t="str">
        <f ca="1">IFERROR(__xludf.DUMMYFUNCTION("""COMPUTED_VALUE"""),"Camerun")</f>
        <v>Camerun</v>
      </c>
      <c r="U49" s="14" t="str">
        <f ca="1">IFERROR(__xludf.DUMMYFUNCTION("""COMPUTED_VALUE"""),"Kamerun")</f>
        <v>Kamerun</v>
      </c>
      <c r="V49" s="14" t="str">
        <f ca="1">IFERROR(__xludf.DUMMYFUNCTION("""COMPUTED_VALUE"""),"Камерун")</f>
        <v>Камерун</v>
      </c>
      <c r="W49" s="14" t="str">
        <f ca="1">IFERROR(__xludf.DUMMYFUNCTION("""COMPUTED_VALUE"""),"Kamerun")</f>
        <v>Kamerun</v>
      </c>
      <c r="X49" s="14" t="str">
        <f ca="1">IFERROR(__xludf.DUMMYFUNCTION("""COMPUTED_VALUE"""),"Kamerun")</f>
        <v>Kamerun</v>
      </c>
      <c r="Y49" s="14" t="str">
        <f ca="1">IFERROR(__xludf.DUMMYFUNCTION("""COMPUTED_VALUE"""),"Kamerun")</f>
        <v>Kamerun</v>
      </c>
      <c r="Z49" s="14" t="str">
        <f ca="1">IFERROR(__xludf.DUMMYFUNCTION("""COMPUTED_VALUE"""),"แคเมอรูน")</f>
        <v>แคเมอรูน</v>
      </c>
      <c r="AA49" s="14" t="str">
        <f ca="1">IFERROR(__xludf.DUMMYFUNCTION("""COMPUTED_VALUE"""),"Kamerun")</f>
        <v>Kamerun</v>
      </c>
      <c r="AB49" s="14" t="str">
        <f ca="1">IFERROR(__xludf.DUMMYFUNCTION("""COMPUTED_VALUE"""),"KAMERUN")</f>
        <v>KAMERUN</v>
      </c>
      <c r="AC49" s="14" t="str">
        <f ca="1">IFERROR(__xludf.DUMMYFUNCTION("""COMPUTED_VALUE"""),"Камерун")</f>
        <v>Камерун</v>
      </c>
      <c r="AD49" s="14" t="str">
        <f ca="1">IFERROR(__xludf.DUMMYFUNCTION("""COMPUTED_VALUE"""),"Cameroon")</f>
        <v>Cameroon</v>
      </c>
      <c r="AE49" s="14" t="str">
        <f ca="1">IFERROR(__xludf.DUMMYFUNCTION("""COMPUTED_VALUE"""),"Камерун")</f>
        <v>Камерун</v>
      </c>
      <c r="AF49" s="14"/>
    </row>
    <row r="50" spans="1:32" ht="13" x14ac:dyDescent="0.15">
      <c r="A50" s="14" t="str">
        <f ca="1">IFERROR(__xludf.DUMMYFUNCTION("""COMPUTED_VALUE"""),"CN")</f>
        <v>CN</v>
      </c>
      <c r="B50" s="14" t="str">
        <f ca="1">IFERROR(__xludf.DUMMYFUNCTION("""COMPUTED_VALUE"""),"China")</f>
        <v>China</v>
      </c>
      <c r="C50" s="14" t="str">
        <f ca="1">IFERROR(__xludf.DUMMYFUNCTION("""COMPUTED_VALUE"""),"الصين")</f>
        <v>الصين</v>
      </c>
      <c r="D50" s="14" t="str">
        <f ca="1">IFERROR(__xludf.DUMMYFUNCTION("""COMPUTED_VALUE"""),"Китай")</f>
        <v>Китай</v>
      </c>
      <c r="E50" s="14" t="str">
        <f ca="1">IFERROR(__xludf.DUMMYFUNCTION("""COMPUTED_VALUE"""),"China")</f>
        <v>China</v>
      </c>
      <c r="F50" s="14" t="str">
        <f ca="1">IFERROR(__xludf.DUMMYFUNCTION("""COMPUTED_VALUE"""),"Кітай")</f>
        <v>Кітай</v>
      </c>
      <c r="G50" s="14" t="str">
        <f ca="1">IFERROR(__xludf.DUMMYFUNCTION("""COMPUTED_VALUE"""),"Čína")</f>
        <v>Čína</v>
      </c>
      <c r="H50" s="14" t="str">
        <f ca="1">IFERROR(__xludf.DUMMYFUNCTION("""COMPUTED_VALUE"""),"China")</f>
        <v>China</v>
      </c>
      <c r="I50" s="14" t="str">
        <f ca="1">IFERROR(__xludf.DUMMYFUNCTION("""COMPUTED_VALUE"""),"China")</f>
        <v>China</v>
      </c>
      <c r="J50" s="14" t="str">
        <f ca="1">IFERROR(__xludf.DUMMYFUNCTION("""COMPUTED_VALUE"""),"Kiina")</f>
        <v>Kiina</v>
      </c>
      <c r="K50" s="14" t="str">
        <f ca="1">IFERROR(__xludf.DUMMYFUNCTION("""COMPUTED_VALUE"""),"Κίνα")</f>
        <v>Κίνα</v>
      </c>
      <c r="L50" s="14" t="str">
        <f ca="1">IFERROR(__xludf.DUMMYFUNCTION("""COMPUTED_VALUE"""),"ΚΙΝΑ")</f>
        <v>ΚΙΝΑ</v>
      </c>
      <c r="M50" s="14" t="str">
        <f ca="1">IFERROR(__xludf.DUMMYFUNCTION("""COMPUTED_VALUE"""),"Kina")</f>
        <v>Kina</v>
      </c>
      <c r="N50" s="14" t="str">
        <f ca="1">IFERROR(__xludf.DUMMYFUNCTION("""COMPUTED_VALUE"""),"Kína")</f>
        <v>Kína</v>
      </c>
      <c r="O50" s="14" t="str">
        <f ca="1">IFERROR(__xludf.DUMMYFUNCTION("""COMPUTED_VALUE"""),"Tiongkok")</f>
        <v>Tiongkok</v>
      </c>
      <c r="P50" s="14" t="str">
        <f ca="1">IFERROR(__xludf.DUMMYFUNCTION("""COMPUTED_VALUE"""),"Cina")</f>
        <v>Cina</v>
      </c>
      <c r="Q50" s="14" t="str">
        <f ca="1">IFERROR(__xludf.DUMMYFUNCTION("""COMPUTED_VALUE"""),"중국")</f>
        <v>중국</v>
      </c>
      <c r="R50" s="14" t="str">
        <f ca="1">IFERROR(__xludf.DUMMYFUNCTION("""COMPUTED_VALUE"""),"Chiny")</f>
        <v>Chiny</v>
      </c>
      <c r="S50" s="14" t="str">
        <f ca="1">IFERROR(__xludf.DUMMYFUNCTION("""COMPUTED_VALUE"""),"China")</f>
        <v>China</v>
      </c>
      <c r="T50" s="14" t="str">
        <f ca="1">IFERROR(__xludf.DUMMYFUNCTION("""COMPUTED_VALUE"""),"China")</f>
        <v>China</v>
      </c>
      <c r="U50" s="14" t="str">
        <f ca="1">IFERROR(__xludf.DUMMYFUNCTION("""COMPUTED_VALUE"""),"Kina")</f>
        <v>Kina</v>
      </c>
      <c r="V50" s="14" t="str">
        <f ca="1">IFERROR(__xludf.DUMMYFUNCTION("""COMPUTED_VALUE"""),"Китай")</f>
        <v>Китай</v>
      </c>
      <c r="W50" s="14" t="str">
        <f ca="1">IFERROR(__xludf.DUMMYFUNCTION("""COMPUTED_VALUE"""),"Kina")</f>
        <v>Kina</v>
      </c>
      <c r="X50" s="14" t="str">
        <f ca="1">IFERROR(__xludf.DUMMYFUNCTION("""COMPUTED_VALUE"""),"Ljudska republika Kitajska")</f>
        <v>Ljudska republika Kitajska</v>
      </c>
      <c r="Y50" s="14" t="str">
        <f ca="1">IFERROR(__xludf.DUMMYFUNCTION("""COMPUTED_VALUE"""),"Čína")</f>
        <v>Čína</v>
      </c>
      <c r="Z50" s="14" t="str">
        <f ca="1">IFERROR(__xludf.DUMMYFUNCTION("""COMPUTED_VALUE"""),"จีน")</f>
        <v>จีน</v>
      </c>
      <c r="AA50" s="14" t="str">
        <f ca="1">IFERROR(__xludf.DUMMYFUNCTION("""COMPUTED_VALUE"""),"Çin")</f>
        <v>Çin</v>
      </c>
      <c r="AB50" s="14" t="str">
        <f ca="1">IFERROR(__xludf.DUMMYFUNCTION("""COMPUTED_VALUE"""),"ÇİN")</f>
        <v>ÇİN</v>
      </c>
      <c r="AC50" s="14" t="str">
        <f ca="1">IFERROR(__xludf.DUMMYFUNCTION("""COMPUTED_VALUE"""),"КНР")</f>
        <v>КНР</v>
      </c>
      <c r="AD50" s="14" t="str">
        <f ca="1">IFERROR(__xludf.DUMMYFUNCTION("""COMPUTED_VALUE"""),"Trung Quốc")</f>
        <v>Trung Quốc</v>
      </c>
      <c r="AE50" s="14" t="str">
        <f ca="1">IFERROR(__xludf.DUMMYFUNCTION("""COMPUTED_VALUE"""),"Қытай")</f>
        <v>Қытай</v>
      </c>
      <c r="AF50" s="14"/>
    </row>
    <row r="51" spans="1:32" ht="13" x14ac:dyDescent="0.15">
      <c r="A51" s="14" t="str">
        <f ca="1">IFERROR(__xludf.DUMMYFUNCTION("""COMPUTED_VALUE"""),"CO")</f>
        <v>CO</v>
      </c>
      <c r="B51" s="14" t="str">
        <f ca="1">IFERROR(__xludf.DUMMYFUNCTION("""COMPUTED_VALUE"""),"Colombia")</f>
        <v>Colombia</v>
      </c>
      <c r="C51" s="14" t="str">
        <f ca="1">IFERROR(__xludf.DUMMYFUNCTION("""COMPUTED_VALUE"""),"كولومبيا")</f>
        <v>كولومبيا</v>
      </c>
      <c r="D51" s="14" t="str">
        <f ca="1">IFERROR(__xludf.DUMMYFUNCTION("""COMPUTED_VALUE"""),"Колумбия")</f>
        <v>Колумбия</v>
      </c>
      <c r="E51" s="14" t="str">
        <f ca="1">IFERROR(__xludf.DUMMYFUNCTION("""COMPUTED_VALUE"""),"Colômbia")</f>
        <v>Colômbia</v>
      </c>
      <c r="F51" s="14" t="str">
        <f ca="1">IFERROR(__xludf.DUMMYFUNCTION("""COMPUTED_VALUE"""),"Калумбія")</f>
        <v>Калумбія</v>
      </c>
      <c r="G51" s="14" t="str">
        <f ca="1">IFERROR(__xludf.DUMMYFUNCTION("""COMPUTED_VALUE"""),"Kolumbie")</f>
        <v>Kolumbie</v>
      </c>
      <c r="H51" s="14" t="str">
        <f ca="1">IFERROR(__xludf.DUMMYFUNCTION("""COMPUTED_VALUE"""),"Kolumbien")</f>
        <v>Kolumbien</v>
      </c>
      <c r="I51" s="14" t="str">
        <f ca="1">IFERROR(__xludf.DUMMYFUNCTION("""COMPUTED_VALUE"""),"Colombia")</f>
        <v>Colombia</v>
      </c>
      <c r="J51" s="14" t="str">
        <f ca="1">IFERROR(__xludf.DUMMYFUNCTION("""COMPUTED_VALUE"""),"Kolumbia")</f>
        <v>Kolumbia</v>
      </c>
      <c r="K51" s="14" t="str">
        <f ca="1">IFERROR(__xludf.DUMMYFUNCTION("""COMPUTED_VALUE"""),"Κολομβία")</f>
        <v>Κολομβία</v>
      </c>
      <c r="L51" s="14" t="str">
        <f ca="1">IFERROR(__xludf.DUMMYFUNCTION("""COMPUTED_VALUE"""),"ΚΟΛΟΜΒΙΑ")</f>
        <v>ΚΟΛΟΜΒΙΑ</v>
      </c>
      <c r="M51" s="14" t="str">
        <f ca="1">IFERROR(__xludf.DUMMYFUNCTION("""COMPUTED_VALUE"""),"Kolumbija")</f>
        <v>Kolumbija</v>
      </c>
      <c r="N51" s="14" t="str">
        <f ca="1">IFERROR(__xludf.DUMMYFUNCTION("""COMPUTED_VALUE"""),"Kolumbia")</f>
        <v>Kolumbia</v>
      </c>
      <c r="O51" s="14" t="str">
        <f ca="1">IFERROR(__xludf.DUMMYFUNCTION("""COMPUTED_VALUE"""),"Kolombia")</f>
        <v>Kolombia</v>
      </c>
      <c r="P51" s="14" t="str">
        <f ca="1">IFERROR(__xludf.DUMMYFUNCTION("""COMPUTED_VALUE"""),"Colombia")</f>
        <v>Colombia</v>
      </c>
      <c r="Q51" s="14" t="str">
        <f ca="1">IFERROR(__xludf.DUMMYFUNCTION("""COMPUTED_VALUE"""),"콜롬비아")</f>
        <v>콜롬비아</v>
      </c>
      <c r="R51" s="14" t="str">
        <f ca="1">IFERROR(__xludf.DUMMYFUNCTION("""COMPUTED_VALUE"""),"Kolumbia")</f>
        <v>Kolumbia</v>
      </c>
      <c r="S51" s="14" t="str">
        <f ca="1">IFERROR(__xludf.DUMMYFUNCTION("""COMPUTED_VALUE"""),"Colômbia")</f>
        <v>Colômbia</v>
      </c>
      <c r="T51" s="14" t="str">
        <f ca="1">IFERROR(__xludf.DUMMYFUNCTION("""COMPUTED_VALUE"""),"Columbia")</f>
        <v>Columbia</v>
      </c>
      <c r="U51" s="14" t="str">
        <f ca="1">IFERROR(__xludf.DUMMYFUNCTION("""COMPUTED_VALUE"""),"Kolumbija")</f>
        <v>Kolumbija</v>
      </c>
      <c r="V51" s="14" t="str">
        <f ca="1">IFERROR(__xludf.DUMMYFUNCTION("""COMPUTED_VALUE"""),"Колумбия")</f>
        <v>Колумбия</v>
      </c>
      <c r="W51" s="14" t="str">
        <f ca="1">IFERROR(__xludf.DUMMYFUNCTION("""COMPUTED_VALUE"""),"Colombia")</f>
        <v>Colombia</v>
      </c>
      <c r="X51" s="14" t="str">
        <f ca="1">IFERROR(__xludf.DUMMYFUNCTION("""COMPUTED_VALUE"""),"Kolumbija")</f>
        <v>Kolumbija</v>
      </c>
      <c r="Y51" s="14" t="str">
        <f ca="1">IFERROR(__xludf.DUMMYFUNCTION("""COMPUTED_VALUE"""),"Kolumbia")</f>
        <v>Kolumbia</v>
      </c>
      <c r="Z51" s="14" t="str">
        <f ca="1">IFERROR(__xludf.DUMMYFUNCTION("""COMPUTED_VALUE"""),"โคลอมเบีย")</f>
        <v>โคลอมเบีย</v>
      </c>
      <c r="AA51" s="14" t="str">
        <f ca="1">IFERROR(__xludf.DUMMYFUNCTION("""COMPUTED_VALUE"""),"Kolombiya")</f>
        <v>Kolombiya</v>
      </c>
      <c r="AB51" s="14" t="str">
        <f ca="1">IFERROR(__xludf.DUMMYFUNCTION("""COMPUTED_VALUE"""),"KOLOMBİYA")</f>
        <v>KOLOMBİYA</v>
      </c>
      <c r="AC51" s="14" t="str">
        <f ca="1">IFERROR(__xludf.DUMMYFUNCTION("""COMPUTED_VALUE"""),"Колумбія")</f>
        <v>Колумбія</v>
      </c>
      <c r="AD51" s="14" t="str">
        <f ca="1">IFERROR(__xludf.DUMMYFUNCTION("""COMPUTED_VALUE"""),"Columbia")</f>
        <v>Columbia</v>
      </c>
      <c r="AE51" s="14" t="str">
        <f ca="1">IFERROR(__xludf.DUMMYFUNCTION("""COMPUTED_VALUE"""),"Колумбия")</f>
        <v>Колумбия</v>
      </c>
      <c r="AF51" s="14"/>
    </row>
    <row r="52" spans="1:32" ht="13" x14ac:dyDescent="0.15">
      <c r="A52" s="14" t="str">
        <f ca="1">IFERROR(__xludf.DUMMYFUNCTION("""COMPUTED_VALUE"""),"CR")</f>
        <v>CR</v>
      </c>
      <c r="B52" s="14" t="str">
        <f ca="1">IFERROR(__xludf.DUMMYFUNCTION("""COMPUTED_VALUE"""),"Costa Rica")</f>
        <v>Costa Rica</v>
      </c>
      <c r="C52" s="14" t="str">
        <f ca="1">IFERROR(__xludf.DUMMYFUNCTION("""COMPUTED_VALUE"""),"كوستاريكا")</f>
        <v>كوستاريكا</v>
      </c>
      <c r="D52" s="14" t="str">
        <f ca="1">IFERROR(__xludf.DUMMYFUNCTION("""COMPUTED_VALUE"""),"Коста Рика")</f>
        <v>Коста Рика</v>
      </c>
      <c r="E52" s="14" t="str">
        <f ca="1">IFERROR(__xludf.DUMMYFUNCTION("""COMPUTED_VALUE"""),"Costa Rica")</f>
        <v>Costa Rica</v>
      </c>
      <c r="F52" s="14" t="str">
        <f ca="1">IFERROR(__xludf.DUMMYFUNCTION("""COMPUTED_VALUE"""),"Коста-Рыка")</f>
        <v>Коста-Рыка</v>
      </c>
      <c r="G52" s="14" t="str">
        <f ca="1">IFERROR(__xludf.DUMMYFUNCTION("""COMPUTED_VALUE"""),"Kostarika")</f>
        <v>Kostarika</v>
      </c>
      <c r="H52" s="14" t="str">
        <f ca="1">IFERROR(__xludf.DUMMYFUNCTION("""COMPUTED_VALUE"""),"Costa Rica")</f>
        <v>Costa Rica</v>
      </c>
      <c r="I52" s="14" t="str">
        <f ca="1">IFERROR(__xludf.DUMMYFUNCTION("""COMPUTED_VALUE"""),"Costa Rica")</f>
        <v>Costa Rica</v>
      </c>
      <c r="J52" s="14" t="str">
        <f ca="1">IFERROR(__xludf.DUMMYFUNCTION("""COMPUTED_VALUE"""),"Costa Rica")</f>
        <v>Costa Rica</v>
      </c>
      <c r="K52" s="14" t="str">
        <f ca="1">IFERROR(__xludf.DUMMYFUNCTION("""COMPUTED_VALUE"""),"Κόστα Ρίκα")</f>
        <v>Κόστα Ρίκα</v>
      </c>
      <c r="L52" s="14" t="str">
        <f ca="1">IFERROR(__xludf.DUMMYFUNCTION("""COMPUTED_VALUE"""),"ΚΟΣΤΑ ΡΙΚΑ")</f>
        <v>ΚΟΣΤΑ ΡΙΚΑ</v>
      </c>
      <c r="M52" s="14" t="str">
        <f ca="1">IFERROR(__xludf.DUMMYFUNCTION("""COMPUTED_VALUE"""),"Kostarika")</f>
        <v>Kostarika</v>
      </c>
      <c r="N52" s="14" t="str">
        <f ca="1">IFERROR(__xludf.DUMMYFUNCTION("""COMPUTED_VALUE"""),"Costa Rica")</f>
        <v>Costa Rica</v>
      </c>
      <c r="O52" s="14" t="str">
        <f ca="1">IFERROR(__xludf.DUMMYFUNCTION("""COMPUTED_VALUE"""),"Kosta Rika")</f>
        <v>Kosta Rika</v>
      </c>
      <c r="P52" s="14" t="str">
        <f ca="1">IFERROR(__xludf.DUMMYFUNCTION("""COMPUTED_VALUE"""),"Costa Rica")</f>
        <v>Costa Rica</v>
      </c>
      <c r="Q52" s="14" t="str">
        <f ca="1">IFERROR(__xludf.DUMMYFUNCTION("""COMPUTED_VALUE"""),"코스타리카")</f>
        <v>코스타리카</v>
      </c>
      <c r="R52" s="14" t="str">
        <f ca="1">IFERROR(__xludf.DUMMYFUNCTION("""COMPUTED_VALUE"""),"Kostaryka")</f>
        <v>Kostaryka</v>
      </c>
      <c r="S52" s="14" t="str">
        <f ca="1">IFERROR(__xludf.DUMMYFUNCTION("""COMPUTED_VALUE"""),"Costa Rica")</f>
        <v>Costa Rica</v>
      </c>
      <c r="T52" s="14" t="str">
        <f ca="1">IFERROR(__xludf.DUMMYFUNCTION("""COMPUTED_VALUE"""),"Costa Rica")</f>
        <v>Costa Rica</v>
      </c>
      <c r="U52" s="14" t="str">
        <f ca="1">IFERROR(__xludf.DUMMYFUNCTION("""COMPUTED_VALUE"""),"Kostarika")</f>
        <v>Kostarika</v>
      </c>
      <c r="V52" s="14" t="str">
        <f ca="1">IFERROR(__xludf.DUMMYFUNCTION("""COMPUTED_VALUE"""),"Коста-Рика")</f>
        <v>Коста-Рика</v>
      </c>
      <c r="W52" s="14" t="str">
        <f ca="1">IFERROR(__xludf.DUMMYFUNCTION("""COMPUTED_VALUE"""),"Costa Rica")</f>
        <v>Costa Rica</v>
      </c>
      <c r="X52" s="14" t="str">
        <f ca="1">IFERROR(__xludf.DUMMYFUNCTION("""COMPUTED_VALUE"""),"Kostarika")</f>
        <v>Kostarika</v>
      </c>
      <c r="Y52" s="14" t="str">
        <f ca="1">IFERROR(__xludf.DUMMYFUNCTION("""COMPUTED_VALUE"""),"Kostarika")</f>
        <v>Kostarika</v>
      </c>
      <c r="Z52" s="14" t="str">
        <f ca="1">IFERROR(__xludf.DUMMYFUNCTION("""COMPUTED_VALUE"""),"คอสตาริกา")</f>
        <v>คอสตาริกา</v>
      </c>
      <c r="AA52" s="14" t="str">
        <f ca="1">IFERROR(__xludf.DUMMYFUNCTION("""COMPUTED_VALUE"""),"Kosta Rika")</f>
        <v>Kosta Rika</v>
      </c>
      <c r="AB52" s="14" t="str">
        <f ca="1">IFERROR(__xludf.DUMMYFUNCTION("""COMPUTED_VALUE"""),"KOSTA RİKA")</f>
        <v>KOSTA RİKA</v>
      </c>
      <c r="AC52" s="14" t="str">
        <f ca="1">IFERROR(__xludf.DUMMYFUNCTION("""COMPUTED_VALUE"""),"Коста-Рика")</f>
        <v>Коста-Рика</v>
      </c>
      <c r="AD52" s="14" t="str">
        <f ca="1">IFERROR(__xludf.DUMMYFUNCTION("""COMPUTED_VALUE"""),"Costa Rica")</f>
        <v>Costa Rica</v>
      </c>
      <c r="AE52" s="14" t="str">
        <f ca="1">IFERROR(__xludf.DUMMYFUNCTION("""COMPUTED_VALUE"""),"Коста-Рика")</f>
        <v>Коста-Рика</v>
      </c>
      <c r="AF52" s="14"/>
    </row>
    <row r="53" spans="1:32" ht="13" x14ac:dyDescent="0.15">
      <c r="A53" s="14" t="str">
        <f ca="1">IFERROR(__xludf.DUMMYFUNCTION("""COMPUTED_VALUE"""),"CU")</f>
        <v>CU</v>
      </c>
      <c r="B53" s="14" t="str">
        <f ca="1">IFERROR(__xludf.DUMMYFUNCTION("""COMPUTED_VALUE"""),"Cuba")</f>
        <v>Cuba</v>
      </c>
      <c r="C53" s="14" t="str">
        <f ca="1">IFERROR(__xludf.DUMMYFUNCTION("""COMPUTED_VALUE"""),"كوبا")</f>
        <v>كوبا</v>
      </c>
      <c r="D53" s="14" t="str">
        <f ca="1">IFERROR(__xludf.DUMMYFUNCTION("""COMPUTED_VALUE"""),"Куба")</f>
        <v>Куба</v>
      </c>
      <c r="E53" s="14" t="str">
        <f ca="1">IFERROR(__xludf.DUMMYFUNCTION("""COMPUTED_VALUE"""),"Cuba")</f>
        <v>Cuba</v>
      </c>
      <c r="F53" s="14" t="str">
        <f ca="1">IFERROR(__xludf.DUMMYFUNCTION("""COMPUTED_VALUE"""),"Куба")</f>
        <v>Куба</v>
      </c>
      <c r="G53" s="14" t="str">
        <f ca="1">IFERROR(__xludf.DUMMYFUNCTION("""COMPUTED_VALUE"""),"Kuba")</f>
        <v>Kuba</v>
      </c>
      <c r="H53" s="14" t="str">
        <f ca="1">IFERROR(__xludf.DUMMYFUNCTION("""COMPUTED_VALUE"""),"Kuba")</f>
        <v>Kuba</v>
      </c>
      <c r="I53" s="14" t="str">
        <f ca="1">IFERROR(__xludf.DUMMYFUNCTION("""COMPUTED_VALUE"""),"Cuba")</f>
        <v>Cuba</v>
      </c>
      <c r="J53" s="14" t="str">
        <f ca="1">IFERROR(__xludf.DUMMYFUNCTION("""COMPUTED_VALUE"""),"Kuuba")</f>
        <v>Kuuba</v>
      </c>
      <c r="K53" s="14" t="str">
        <f ca="1">IFERROR(__xludf.DUMMYFUNCTION("""COMPUTED_VALUE"""),"Κούβα")</f>
        <v>Κούβα</v>
      </c>
      <c r="L53" s="14" t="str">
        <f ca="1">IFERROR(__xludf.DUMMYFUNCTION("""COMPUTED_VALUE"""),"ΚΟΥΒΑ")</f>
        <v>ΚΟΥΒΑ</v>
      </c>
      <c r="M53" s="14" t="str">
        <f ca="1">IFERROR(__xludf.DUMMYFUNCTION("""COMPUTED_VALUE"""),"Kuba")</f>
        <v>Kuba</v>
      </c>
      <c r="N53" s="14" t="str">
        <f ca="1">IFERROR(__xludf.DUMMYFUNCTION("""COMPUTED_VALUE"""),"Kuba")</f>
        <v>Kuba</v>
      </c>
      <c r="O53" s="14" t="str">
        <f ca="1">IFERROR(__xludf.DUMMYFUNCTION("""COMPUTED_VALUE"""),"Kuba")</f>
        <v>Kuba</v>
      </c>
      <c r="P53" s="14" t="str">
        <f ca="1">IFERROR(__xludf.DUMMYFUNCTION("""COMPUTED_VALUE"""),"Cuba")</f>
        <v>Cuba</v>
      </c>
      <c r="Q53" s="14" t="str">
        <f ca="1">IFERROR(__xludf.DUMMYFUNCTION("""COMPUTED_VALUE"""),"쿠바")</f>
        <v>쿠바</v>
      </c>
      <c r="R53" s="14" t="str">
        <f ca="1">IFERROR(__xludf.DUMMYFUNCTION("""COMPUTED_VALUE"""),"Kuba")</f>
        <v>Kuba</v>
      </c>
      <c r="S53" s="14" t="str">
        <f ca="1">IFERROR(__xludf.DUMMYFUNCTION("""COMPUTED_VALUE"""),"Cuba")</f>
        <v>Cuba</v>
      </c>
      <c r="T53" s="14" t="str">
        <f ca="1">IFERROR(__xludf.DUMMYFUNCTION("""COMPUTED_VALUE"""),"Cuba")</f>
        <v>Cuba</v>
      </c>
      <c r="U53" s="14" t="str">
        <f ca="1">IFERROR(__xludf.DUMMYFUNCTION("""COMPUTED_VALUE"""),"Kuba")</f>
        <v>Kuba</v>
      </c>
      <c r="V53" s="14" t="str">
        <f ca="1">IFERROR(__xludf.DUMMYFUNCTION("""COMPUTED_VALUE"""),"Куба")</f>
        <v>Куба</v>
      </c>
      <c r="W53" s="14" t="str">
        <f ca="1">IFERROR(__xludf.DUMMYFUNCTION("""COMPUTED_VALUE"""),"Kuba")</f>
        <v>Kuba</v>
      </c>
      <c r="X53" s="14" t="str">
        <f ca="1">IFERROR(__xludf.DUMMYFUNCTION("""COMPUTED_VALUE"""),"Kuba")</f>
        <v>Kuba</v>
      </c>
      <c r="Y53" s="14" t="str">
        <f ca="1">IFERROR(__xludf.DUMMYFUNCTION("""COMPUTED_VALUE"""),"Kuba")</f>
        <v>Kuba</v>
      </c>
      <c r="Z53" s="14" t="str">
        <f ca="1">IFERROR(__xludf.DUMMYFUNCTION("""COMPUTED_VALUE"""),"คิวบา")</f>
        <v>คิวบา</v>
      </c>
      <c r="AA53" s="14" t="str">
        <f ca="1">IFERROR(__xludf.DUMMYFUNCTION("""COMPUTED_VALUE"""),"Küba")</f>
        <v>Küba</v>
      </c>
      <c r="AB53" s="14" t="str">
        <f ca="1">IFERROR(__xludf.DUMMYFUNCTION("""COMPUTED_VALUE"""),"KÜBA")</f>
        <v>KÜBA</v>
      </c>
      <c r="AC53" s="14" t="str">
        <f ca="1">IFERROR(__xludf.DUMMYFUNCTION("""COMPUTED_VALUE"""),"Куба")</f>
        <v>Куба</v>
      </c>
      <c r="AD53" s="14" t="str">
        <f ca="1">IFERROR(__xludf.DUMMYFUNCTION("""COMPUTED_VALUE"""),"Cuba")</f>
        <v>Cuba</v>
      </c>
      <c r="AE53" s="14" t="str">
        <f ca="1">IFERROR(__xludf.DUMMYFUNCTION("""COMPUTED_VALUE"""),"Куба")</f>
        <v>Куба</v>
      </c>
      <c r="AF53" s="14"/>
    </row>
    <row r="54" spans="1:32" ht="13" x14ac:dyDescent="0.15">
      <c r="A54" s="14" t="str">
        <f ca="1">IFERROR(__xludf.DUMMYFUNCTION("""COMPUTED_VALUE"""),"CV")</f>
        <v>CV</v>
      </c>
      <c r="B54" s="14" t="str">
        <f ca="1">IFERROR(__xludf.DUMMYFUNCTION("""COMPUTED_VALUE"""),"Cape Verde")</f>
        <v>Cape Verde</v>
      </c>
      <c r="C54" s="14" t="str">
        <f ca="1">IFERROR(__xludf.DUMMYFUNCTION("""COMPUTED_VALUE"""),"الرأس الأخضر")</f>
        <v>الرأس الأخضر</v>
      </c>
      <c r="D54" s="14" t="str">
        <f ca="1">IFERROR(__xludf.DUMMYFUNCTION("""COMPUTED_VALUE"""),"Кабо Верде")</f>
        <v>Кабо Верде</v>
      </c>
      <c r="E54" s="14" t="str">
        <f ca="1">IFERROR(__xludf.DUMMYFUNCTION("""COMPUTED_VALUE"""),"Cabo Verde")</f>
        <v>Cabo Verde</v>
      </c>
      <c r="F54" s="14" t="str">
        <f ca="1">IFERROR(__xludf.DUMMYFUNCTION("""COMPUTED_VALUE"""),"Каба-Вердэ")</f>
        <v>Каба-Вердэ</v>
      </c>
      <c r="G54" s="14" t="str">
        <f ca="1">IFERROR(__xludf.DUMMYFUNCTION("""COMPUTED_VALUE"""),"Kapverdy")</f>
        <v>Kapverdy</v>
      </c>
      <c r="H54" s="14" t="str">
        <f ca="1">IFERROR(__xludf.DUMMYFUNCTION("""COMPUTED_VALUE"""),"Kap Verde")</f>
        <v>Kap Verde</v>
      </c>
      <c r="I54" s="14" t="str">
        <f ca="1">IFERROR(__xludf.DUMMYFUNCTION("""COMPUTED_VALUE"""),"Cabo Verde")</f>
        <v>Cabo Verde</v>
      </c>
      <c r="J54" s="14" t="str">
        <f ca="1">IFERROR(__xludf.DUMMYFUNCTION("""COMPUTED_VALUE"""),"Kap Verde")</f>
        <v>Kap Verde</v>
      </c>
      <c r="K54" s="14" t="str">
        <f ca="1">IFERROR(__xludf.DUMMYFUNCTION("""COMPUTED_VALUE"""),"Πράσινο Ακρωτήρι")</f>
        <v>Πράσινο Ακρωτήρι</v>
      </c>
      <c r="L54" s="14" t="str">
        <f ca="1">IFERROR(__xludf.DUMMYFUNCTION("""COMPUTED_VALUE"""),"ΠΡΑΣΙΝΟ ΑΚΡΩΤΗΡΙ")</f>
        <v>ΠΡΑΣΙΝΟ ΑΚΡΩΤΗΡΙ</v>
      </c>
      <c r="M54" s="14" t="str">
        <f ca="1">IFERROR(__xludf.DUMMYFUNCTION("""COMPUTED_VALUE"""),"Zelenortski otoci")</f>
        <v>Zelenortski otoci</v>
      </c>
      <c r="N54" s="14" t="str">
        <f ca="1">IFERROR(__xludf.DUMMYFUNCTION("""COMPUTED_VALUE"""),"Zöld-foki Köztársaság")</f>
        <v>Zöld-foki Köztársaság</v>
      </c>
      <c r="O54" s="14" t="str">
        <f ca="1">IFERROR(__xludf.DUMMYFUNCTION("""COMPUTED_VALUE"""),"Tanjung Verde")</f>
        <v>Tanjung Verde</v>
      </c>
      <c r="P54" s="14" t="str">
        <f ca="1">IFERROR(__xludf.DUMMYFUNCTION("""COMPUTED_VALUE"""),"Capo Verde")</f>
        <v>Capo Verde</v>
      </c>
      <c r="Q54" s="14" t="str">
        <f ca="1">IFERROR(__xludf.DUMMYFUNCTION("""COMPUTED_VALUE"""),"카보베르데")</f>
        <v>카보베르데</v>
      </c>
      <c r="R54" s="14" t="str">
        <f ca="1">IFERROR(__xludf.DUMMYFUNCTION("""COMPUTED_VALUE"""),"Republika Zielonego Przylądka")</f>
        <v>Republika Zielonego Przylądka</v>
      </c>
      <c r="S54" s="14" t="str">
        <f ca="1">IFERROR(__xludf.DUMMYFUNCTION("""COMPUTED_VALUE"""),"Cabo Verde")</f>
        <v>Cabo Verde</v>
      </c>
      <c r="T54" s="14" t="str">
        <f ca="1">IFERROR(__xludf.DUMMYFUNCTION("""COMPUTED_VALUE"""),"Republica Capului Verde")</f>
        <v>Republica Capului Verde</v>
      </c>
      <c r="U54" s="14" t="str">
        <f ca="1">IFERROR(__xludf.DUMMYFUNCTION("""COMPUTED_VALUE"""),"Zelenortska Ostrva")</f>
        <v>Zelenortska Ostrva</v>
      </c>
      <c r="V54" s="14" t="str">
        <f ca="1">IFERROR(__xludf.DUMMYFUNCTION("""COMPUTED_VALUE"""),"Кабо-Верде")</f>
        <v>Кабо-Верде</v>
      </c>
      <c r="W54" s="14" t="str">
        <f ca="1">IFERROR(__xludf.DUMMYFUNCTION("""COMPUTED_VALUE"""),"Kap Verde")</f>
        <v>Kap Verde</v>
      </c>
      <c r="X54" s="14" t="str">
        <f ca="1">IFERROR(__xludf.DUMMYFUNCTION("""COMPUTED_VALUE"""),"Zelenortski otoki")</f>
        <v>Zelenortski otoki</v>
      </c>
      <c r="Y54" s="14" t="str">
        <f ca="1">IFERROR(__xludf.DUMMYFUNCTION("""COMPUTED_VALUE"""),"Kapverdy")</f>
        <v>Kapverdy</v>
      </c>
      <c r="Z54" s="14" t="str">
        <f ca="1">IFERROR(__xludf.DUMMYFUNCTION("""COMPUTED_VALUE"""),"กาบูเวร์ดี")</f>
        <v>กาบูเวร์ดี</v>
      </c>
      <c r="AA54" s="14" t="str">
        <f ca="1">IFERROR(__xludf.DUMMYFUNCTION("""COMPUTED_VALUE"""),"Cape Verde")</f>
        <v>Cape Verde</v>
      </c>
      <c r="AB54" s="14" t="str">
        <f ca="1">IFERROR(__xludf.DUMMYFUNCTION("""COMPUTED_VALUE"""),"CAPE VERDE")</f>
        <v>CAPE VERDE</v>
      </c>
      <c r="AC54" s="14" t="str">
        <f ca="1">IFERROR(__xludf.DUMMYFUNCTION("""COMPUTED_VALUE"""),"Кабо-Верде")</f>
        <v>Кабо-Верде</v>
      </c>
      <c r="AD54" s="14" t="str">
        <f ca="1">IFERROR(__xludf.DUMMYFUNCTION("""COMPUTED_VALUE"""),"Cabo Verde")</f>
        <v>Cabo Verde</v>
      </c>
      <c r="AE54" s="14" t="str">
        <f ca="1">IFERROR(__xludf.DUMMYFUNCTION("""COMPUTED_VALUE"""),"Кабо-Верде")</f>
        <v>Кабо-Верде</v>
      </c>
      <c r="AF54" s="14"/>
    </row>
    <row r="55" spans="1:32" ht="13" x14ac:dyDescent="0.15">
      <c r="A55" s="14" t="str">
        <f ca="1">IFERROR(__xludf.DUMMYFUNCTION("""COMPUTED_VALUE"""),"CW")</f>
        <v>CW</v>
      </c>
      <c r="B55" s="14" t="str">
        <f ca="1">IFERROR(__xludf.DUMMYFUNCTION("""COMPUTED_VALUE"""),"Curaçao")</f>
        <v>Curaçao</v>
      </c>
      <c r="C55" s="14"/>
      <c r="D55" s="14"/>
      <c r="E55" s="14" t="str">
        <f ca="1">IFERROR(__xludf.DUMMYFUNCTION("""COMPUTED_VALUE"""),"Curaçao")</f>
        <v>Curaçao</v>
      </c>
      <c r="F55" s="14"/>
      <c r="G55" s="14" t="str">
        <f ca="1">IFERROR(__xludf.DUMMYFUNCTION("""COMPUTED_VALUE"""),"Curaçao")</f>
        <v>Curaçao</v>
      </c>
      <c r="H55" s="14" t="str">
        <f ca="1">IFERROR(__xludf.DUMMYFUNCTION("""COMPUTED_VALUE"""),"Curaçao")</f>
        <v>Curaçao</v>
      </c>
      <c r="I55" s="14" t="str">
        <f ca="1">IFERROR(__xludf.DUMMYFUNCTION("""COMPUTED_VALUE"""),"Curaçao")</f>
        <v>Curaçao</v>
      </c>
      <c r="J55" s="14"/>
      <c r="K55" s="14" t="str">
        <f ca="1">IFERROR(__xludf.DUMMYFUNCTION("""COMPUTED_VALUE"""),"Κουρασάο")</f>
        <v>Κουρασάο</v>
      </c>
      <c r="L55" s="14" t="str">
        <f ca="1">IFERROR(__xludf.DUMMYFUNCTION("""COMPUTED_VALUE"""),"ΚΟΥΡΑΣΑΟ")</f>
        <v>ΚΟΥΡΑΣΑΟ</v>
      </c>
      <c r="M55" s="14"/>
      <c r="N55" s="14" t="str">
        <f ca="1">IFERROR(__xludf.DUMMYFUNCTION("""COMPUTED_VALUE"""),"Curaçao")</f>
        <v>Curaçao</v>
      </c>
      <c r="O55" s="14"/>
      <c r="P55" s="14" t="str">
        <f ca="1">IFERROR(__xludf.DUMMYFUNCTION("""COMPUTED_VALUE"""),"Curaçao")</f>
        <v>Curaçao</v>
      </c>
      <c r="Q55" s="14"/>
      <c r="R55" s="14" t="str">
        <f ca="1">IFERROR(__xludf.DUMMYFUNCTION("""COMPUTED_VALUE"""),"Curaçao")</f>
        <v>Curaçao</v>
      </c>
      <c r="S55" s="14" t="str">
        <f ca="1">IFERROR(__xludf.DUMMYFUNCTION("""COMPUTED_VALUE"""),"Curaçao")</f>
        <v>Curaçao</v>
      </c>
      <c r="T55" s="14" t="str">
        <f ca="1">IFERROR(__xludf.DUMMYFUNCTION("""COMPUTED_VALUE"""),"Curaçao")</f>
        <v>Curaçao</v>
      </c>
      <c r="U55" s="14"/>
      <c r="V55" s="14" t="str">
        <f ca="1">IFERROR(__xludf.DUMMYFUNCTION("""COMPUTED_VALUE"""),"Кюрасао")</f>
        <v>Кюрасао</v>
      </c>
      <c r="W55" s="14"/>
      <c r="X55" s="14"/>
      <c r="Y55" s="14" t="str">
        <f ca="1">IFERROR(__xludf.DUMMYFUNCTION("""COMPUTED_VALUE"""),"Curaçao")</f>
        <v>Curaçao</v>
      </c>
      <c r="Z55" s="14" t="str">
        <f ca="1">IFERROR(__xludf.DUMMYFUNCTION("""COMPUTED_VALUE"""),"กือราเซา")</f>
        <v>กือราเซา</v>
      </c>
      <c r="AA55" s="14" t="str">
        <f ca="1">IFERROR(__xludf.DUMMYFUNCTION("""COMPUTED_VALUE"""),"CuraÃ§ao")</f>
        <v>CuraÃ§ao</v>
      </c>
      <c r="AB55" s="14" t="str">
        <f ca="1">IFERROR(__xludf.DUMMYFUNCTION("""COMPUTED_VALUE"""),"CURAÃ§AO")</f>
        <v>CURAÃ§AO</v>
      </c>
      <c r="AC55" s="14" t="str">
        <f ca="1">IFERROR(__xludf.DUMMYFUNCTION("""COMPUTED_VALUE"""),"Кюрасао")</f>
        <v>Кюрасао</v>
      </c>
      <c r="AD55" s="14"/>
      <c r="AE55" s="14" t="str">
        <f ca="1">IFERROR(__xludf.DUMMYFUNCTION("""COMPUTED_VALUE"""),"")</f>
        <v/>
      </c>
      <c r="AF55" s="14"/>
    </row>
    <row r="56" spans="1:32" ht="13" x14ac:dyDescent="0.15">
      <c r="A56" s="14" t="str">
        <f ca="1">IFERROR(__xludf.DUMMYFUNCTION("""COMPUTED_VALUE"""),"CX")</f>
        <v>CX</v>
      </c>
      <c r="B56" s="14" t="str">
        <f ca="1">IFERROR(__xludf.DUMMYFUNCTION("""COMPUTED_VALUE"""),"Christmas Island")</f>
        <v>Christmas Island</v>
      </c>
      <c r="C56" s="14" t="str">
        <f ca="1">IFERROR(__xludf.DUMMYFUNCTION("""COMPUTED_VALUE"""),"جزيرة الكريسماس")</f>
        <v>جزيرة الكريسماس</v>
      </c>
      <c r="D56" s="14" t="str">
        <f ca="1">IFERROR(__xludf.DUMMYFUNCTION("""COMPUTED_VALUE"""),"Коледен остров")</f>
        <v>Коледен остров</v>
      </c>
      <c r="E56" s="14" t="str">
        <f ca="1">IFERROR(__xludf.DUMMYFUNCTION("""COMPUTED_VALUE"""),"Christmas, Ilha")</f>
        <v>Christmas, Ilha</v>
      </c>
      <c r="F56" s="14" t="str">
        <f ca="1">IFERROR(__xludf.DUMMYFUNCTION("""COMPUTED_VALUE"""),"Востраў Ражства")</f>
        <v>Востраў Ражства</v>
      </c>
      <c r="G56" s="14" t="str">
        <f ca="1">IFERROR(__xludf.DUMMYFUNCTION("""COMPUTED_VALUE"""),"Vánoční ostrov")</f>
        <v>Vánoční ostrov</v>
      </c>
      <c r="H56" s="14" t="str">
        <f ca="1">IFERROR(__xludf.DUMMYFUNCTION("""COMPUTED_VALUE"""),"Weihnachtsinsel")</f>
        <v>Weihnachtsinsel</v>
      </c>
      <c r="I56" s="14" t="str">
        <f ca="1">IFERROR(__xludf.DUMMYFUNCTION("""COMPUTED_VALUE"""),"Navidad, Isla de")</f>
        <v>Navidad, Isla de</v>
      </c>
      <c r="J56" s="14" t="str">
        <f ca="1">IFERROR(__xludf.DUMMYFUNCTION("""COMPUTED_VALUE"""),"Joulusaari")</f>
        <v>Joulusaari</v>
      </c>
      <c r="K56" s="14" t="str">
        <f ca="1">IFERROR(__xludf.DUMMYFUNCTION("""COMPUTED_VALUE"""),"Νήσος των Χριστουγέννων")</f>
        <v>Νήσος των Χριστουγέννων</v>
      </c>
      <c r="L56" s="14" t="str">
        <f ca="1">IFERROR(__xludf.DUMMYFUNCTION("""COMPUTED_VALUE"""),"ΝΗΣΟΣ ΤΩΝ ΧΡΙΣΤΟΥΓΕΝΝΩΝ")</f>
        <v>ΝΗΣΟΣ ΤΩΝ ΧΡΙΣΤΟΥΓΕΝΝΩΝ</v>
      </c>
      <c r="M56" s="14" t="str">
        <f ca="1">IFERROR(__xludf.DUMMYFUNCTION("""COMPUTED_VALUE"""),"Božićni otok")</f>
        <v>Božićni otok</v>
      </c>
      <c r="N56" s="14" t="str">
        <f ca="1">IFERROR(__xludf.DUMMYFUNCTION("""COMPUTED_VALUE"""),"Karácsony-sziget")</f>
        <v>Karácsony-sziget</v>
      </c>
      <c r="O56" s="14" t="str">
        <f ca="1">IFERROR(__xludf.DUMMYFUNCTION("""COMPUTED_VALUE"""),"Natal, Pulau")</f>
        <v>Natal, Pulau</v>
      </c>
      <c r="P56" s="14" t="str">
        <f ca="1">IFERROR(__xludf.DUMMYFUNCTION("""COMPUTED_VALUE"""),"Isola di Natale")</f>
        <v>Isola di Natale</v>
      </c>
      <c r="Q56" s="14" t="str">
        <f ca="1">IFERROR(__xludf.DUMMYFUNCTION("""COMPUTED_VALUE"""),"크리스마스 섬")</f>
        <v>크리스마스 섬</v>
      </c>
      <c r="R56" s="14" t="str">
        <f ca="1">IFERROR(__xludf.DUMMYFUNCTION("""COMPUTED_VALUE"""),"Wyspa Bożego Narodzenia")</f>
        <v>Wyspa Bożego Narodzenia</v>
      </c>
      <c r="S56" s="14" t="str">
        <f ca="1">IFERROR(__xludf.DUMMYFUNCTION("""COMPUTED_VALUE"""),"Christmas, Ilha")</f>
        <v>Christmas, Ilha</v>
      </c>
      <c r="T56" s="14" t="str">
        <f ca="1">IFERROR(__xludf.DUMMYFUNCTION("""COMPUTED_VALUE"""),"Insula Crăciunului")</f>
        <v>Insula Crăciunului</v>
      </c>
      <c r="U56" s="14" t="str">
        <f ca="1">IFERROR(__xludf.DUMMYFUNCTION("""COMPUTED_VALUE"""),"Božićno Ostrvo")</f>
        <v>Božićno Ostrvo</v>
      </c>
      <c r="V56" s="14" t="str">
        <f ca="1">IFERROR(__xludf.DUMMYFUNCTION("""COMPUTED_VALUE"""),"Остров Рождества")</f>
        <v>Остров Рождества</v>
      </c>
      <c r="W56" s="14" t="str">
        <f ca="1">IFERROR(__xludf.DUMMYFUNCTION("""COMPUTED_VALUE"""),"Julön")</f>
        <v>Julön</v>
      </c>
      <c r="X56" s="14" t="str">
        <f ca="1">IFERROR(__xludf.DUMMYFUNCTION("""COMPUTED_VALUE"""),"Božični otoki")</f>
        <v>Božični otoki</v>
      </c>
      <c r="Y56" s="14" t="str">
        <f ca="1">IFERROR(__xludf.DUMMYFUNCTION("""COMPUTED_VALUE"""),"Vianočný ostrov")</f>
        <v>Vianočný ostrov</v>
      </c>
      <c r="Z56" s="14" t="str">
        <f ca="1">IFERROR(__xludf.DUMMYFUNCTION("""COMPUTED_VALUE"""),"เกาะคริสต์มาส")</f>
        <v>เกาะคริสต์มาส</v>
      </c>
      <c r="AA56" s="14" t="str">
        <f ca="1">IFERROR(__xludf.DUMMYFUNCTION("""COMPUTED_VALUE"""),"Noel Adası")</f>
        <v>Noel Adası</v>
      </c>
      <c r="AB56" s="14" t="str">
        <f ca="1">IFERROR(__xludf.DUMMYFUNCTION("""COMPUTED_VALUE"""),"NOEL ADASI")</f>
        <v>NOEL ADASI</v>
      </c>
      <c r="AC56" s="14" t="str">
        <f ca="1">IFERROR(__xludf.DUMMYFUNCTION("""COMPUTED_VALUE"""),"Острів Різдва")</f>
        <v>Острів Різдва</v>
      </c>
      <c r="AD56" s="14" t="str">
        <f ca="1">IFERROR(__xludf.DUMMYFUNCTION("""COMPUTED_VALUE"""),"Đảo Christmas")</f>
        <v>Đảo Christmas</v>
      </c>
      <c r="AE56" s="14" t="str">
        <f ca="1">IFERROR(__xludf.DUMMYFUNCTION("""COMPUTED_VALUE"""),"Кристмас аралы")</f>
        <v>Кристмас аралы</v>
      </c>
      <c r="AF56" s="14"/>
    </row>
    <row r="57" spans="1:32" ht="13" x14ac:dyDescent="0.15">
      <c r="A57" s="14" t="str">
        <f ca="1">IFERROR(__xludf.DUMMYFUNCTION("""COMPUTED_VALUE"""),"CY")</f>
        <v>CY</v>
      </c>
      <c r="B57" s="14" t="str">
        <f ca="1">IFERROR(__xludf.DUMMYFUNCTION("""COMPUTED_VALUE"""),"Cyprus")</f>
        <v>Cyprus</v>
      </c>
      <c r="C57" s="14" t="str">
        <f ca="1">IFERROR(__xludf.DUMMYFUNCTION("""COMPUTED_VALUE"""),"قبرص")</f>
        <v>قبرص</v>
      </c>
      <c r="D57" s="14" t="str">
        <f ca="1">IFERROR(__xludf.DUMMYFUNCTION("""COMPUTED_VALUE"""),"Кипър")</f>
        <v>Кипър</v>
      </c>
      <c r="E57" s="14" t="str">
        <f ca="1">IFERROR(__xludf.DUMMYFUNCTION("""COMPUTED_VALUE"""),"Chipre")</f>
        <v>Chipre</v>
      </c>
      <c r="F57" s="14" t="str">
        <f ca="1">IFERROR(__xludf.DUMMYFUNCTION("""COMPUTED_VALUE"""),"Кіпр")</f>
        <v>Кіпр</v>
      </c>
      <c r="G57" s="14" t="str">
        <f ca="1">IFERROR(__xludf.DUMMYFUNCTION("""COMPUTED_VALUE"""),"Kypr")</f>
        <v>Kypr</v>
      </c>
      <c r="H57" s="14" t="str">
        <f ca="1">IFERROR(__xludf.DUMMYFUNCTION("""COMPUTED_VALUE"""),"Zypern")</f>
        <v>Zypern</v>
      </c>
      <c r="I57" s="14" t="str">
        <f ca="1">IFERROR(__xludf.DUMMYFUNCTION("""COMPUTED_VALUE"""),"Chipre")</f>
        <v>Chipre</v>
      </c>
      <c r="J57" s="14" t="str">
        <f ca="1">IFERROR(__xludf.DUMMYFUNCTION("""COMPUTED_VALUE"""),"Kypros")</f>
        <v>Kypros</v>
      </c>
      <c r="K57" s="14" t="str">
        <f ca="1">IFERROR(__xludf.DUMMYFUNCTION("""COMPUTED_VALUE"""),"Κύπρος")</f>
        <v>Κύπρος</v>
      </c>
      <c r="L57" s="14" t="str">
        <f ca="1">IFERROR(__xludf.DUMMYFUNCTION("""COMPUTED_VALUE"""),"ΚΥΠΡΟΣ")</f>
        <v>ΚΥΠΡΟΣ</v>
      </c>
      <c r="M57" s="14" t="str">
        <f ca="1">IFERROR(__xludf.DUMMYFUNCTION("""COMPUTED_VALUE"""),"Cipar")</f>
        <v>Cipar</v>
      </c>
      <c r="N57" s="14" t="str">
        <f ca="1">IFERROR(__xludf.DUMMYFUNCTION("""COMPUTED_VALUE"""),"Ciprus")</f>
        <v>Ciprus</v>
      </c>
      <c r="O57" s="14" t="str">
        <f ca="1">IFERROR(__xludf.DUMMYFUNCTION("""COMPUTED_VALUE"""),"Siprus")</f>
        <v>Siprus</v>
      </c>
      <c r="P57" s="14" t="str">
        <f ca="1">IFERROR(__xludf.DUMMYFUNCTION("""COMPUTED_VALUE"""),"Cipro")</f>
        <v>Cipro</v>
      </c>
      <c r="Q57" s="14" t="str">
        <f ca="1">IFERROR(__xludf.DUMMYFUNCTION("""COMPUTED_VALUE"""),"키프로스")</f>
        <v>키프로스</v>
      </c>
      <c r="R57" s="14" t="str">
        <f ca="1">IFERROR(__xludf.DUMMYFUNCTION("""COMPUTED_VALUE"""),"Cypr")</f>
        <v>Cypr</v>
      </c>
      <c r="S57" s="14" t="str">
        <f ca="1">IFERROR(__xludf.DUMMYFUNCTION("""COMPUTED_VALUE"""),"Chipre")</f>
        <v>Chipre</v>
      </c>
      <c r="T57" s="14" t="str">
        <f ca="1">IFERROR(__xludf.DUMMYFUNCTION("""COMPUTED_VALUE"""),"Cipru")</f>
        <v>Cipru</v>
      </c>
      <c r="U57" s="14" t="str">
        <f ca="1">IFERROR(__xludf.DUMMYFUNCTION("""COMPUTED_VALUE"""),"Kipar")</f>
        <v>Kipar</v>
      </c>
      <c r="V57" s="14" t="str">
        <f ca="1">IFERROR(__xludf.DUMMYFUNCTION("""COMPUTED_VALUE"""),"Кипр")</f>
        <v>Кипр</v>
      </c>
      <c r="W57" s="14" t="str">
        <f ca="1">IFERROR(__xludf.DUMMYFUNCTION("""COMPUTED_VALUE"""),"Cypern")</f>
        <v>Cypern</v>
      </c>
      <c r="X57" s="14" t="str">
        <f ca="1">IFERROR(__xludf.DUMMYFUNCTION("""COMPUTED_VALUE"""),"Ciper")</f>
        <v>Ciper</v>
      </c>
      <c r="Y57" s="14" t="str">
        <f ca="1">IFERROR(__xludf.DUMMYFUNCTION("""COMPUTED_VALUE"""),"Cyprus")</f>
        <v>Cyprus</v>
      </c>
      <c r="Z57" s="14" t="str">
        <f ca="1">IFERROR(__xludf.DUMMYFUNCTION("""COMPUTED_VALUE"""),"ไซปรัส")</f>
        <v>ไซปรัส</v>
      </c>
      <c r="AA57" s="14" t="str">
        <f ca="1">IFERROR(__xludf.DUMMYFUNCTION("""COMPUTED_VALUE"""),"Güney Kıbrıs")</f>
        <v>Güney Kıbrıs</v>
      </c>
      <c r="AB57" s="14" t="str">
        <f ca="1">IFERROR(__xludf.DUMMYFUNCTION("""COMPUTED_VALUE"""),"GÜNEY KIBRIS")</f>
        <v>GÜNEY KIBRIS</v>
      </c>
      <c r="AC57" s="14" t="str">
        <f ca="1">IFERROR(__xludf.DUMMYFUNCTION("""COMPUTED_VALUE"""),"Кіпр")</f>
        <v>Кіпр</v>
      </c>
      <c r="AD57" s="14" t="str">
        <f ca="1">IFERROR(__xludf.DUMMYFUNCTION("""COMPUTED_VALUE"""),"Síp")</f>
        <v>Síp</v>
      </c>
      <c r="AE57" s="14" t="str">
        <f ca="1">IFERROR(__xludf.DUMMYFUNCTION("""COMPUTED_VALUE"""),"Кипр")</f>
        <v>Кипр</v>
      </c>
      <c r="AF57" s="14"/>
    </row>
    <row r="58" spans="1:32" ht="13" x14ac:dyDescent="0.15">
      <c r="A58" s="14" t="str">
        <f ca="1">IFERROR(__xludf.DUMMYFUNCTION("""COMPUTED_VALUE"""),"CZ")</f>
        <v>CZ</v>
      </c>
      <c r="B58" s="14" t="str">
        <f ca="1">IFERROR(__xludf.DUMMYFUNCTION("""COMPUTED_VALUE"""),"Czechia")</f>
        <v>Czechia</v>
      </c>
      <c r="C58" s="14" t="str">
        <f ca="1">IFERROR(__xludf.DUMMYFUNCTION("""COMPUTED_VALUE"""),"جمهورية التشيك")</f>
        <v>جمهورية التشيك</v>
      </c>
      <c r="D58" s="14" t="str">
        <f ca="1">IFERROR(__xludf.DUMMYFUNCTION("""COMPUTED_VALUE"""),"Чехия")</f>
        <v>Чехия</v>
      </c>
      <c r="E58" s="14" t="str">
        <f ca="1">IFERROR(__xludf.DUMMYFUNCTION("""COMPUTED_VALUE"""),"Tchéquia")</f>
        <v>Tchéquia</v>
      </c>
      <c r="F58" s="14" t="str">
        <f ca="1">IFERROR(__xludf.DUMMYFUNCTION("""COMPUTED_VALUE"""),"Чэхія")</f>
        <v>Чэхія</v>
      </c>
      <c r="G58" s="14" t="str">
        <f ca="1">IFERROR(__xludf.DUMMYFUNCTION("""COMPUTED_VALUE"""),"Česko")</f>
        <v>Česko</v>
      </c>
      <c r="H58" s="14" t="str">
        <f ca="1">IFERROR(__xludf.DUMMYFUNCTION("""COMPUTED_VALUE"""),"Tschechien")</f>
        <v>Tschechien</v>
      </c>
      <c r="I58" s="14" t="str">
        <f ca="1">IFERROR(__xludf.DUMMYFUNCTION("""COMPUTED_VALUE"""),"Chequia")</f>
        <v>Chequia</v>
      </c>
      <c r="J58" s="14" t="str">
        <f ca="1">IFERROR(__xludf.DUMMYFUNCTION("""COMPUTED_VALUE"""),"Tšekki")</f>
        <v>Tšekki</v>
      </c>
      <c r="K58" s="14" t="str">
        <f ca="1">IFERROR(__xludf.DUMMYFUNCTION("""COMPUTED_VALUE"""),"Τσεχία")</f>
        <v>Τσεχία</v>
      </c>
      <c r="L58" s="14" t="str">
        <f ca="1">IFERROR(__xludf.DUMMYFUNCTION("""COMPUTED_VALUE"""),"ΤΣΕΧΙΑ")</f>
        <v>ΤΣΕΧΙΑ</v>
      </c>
      <c r="M58" s="14" t="str">
        <f ca="1">IFERROR(__xludf.DUMMYFUNCTION("""COMPUTED_VALUE"""),"Češka")</f>
        <v>Češka</v>
      </c>
      <c r="N58" s="14" t="str">
        <f ca="1">IFERROR(__xludf.DUMMYFUNCTION("""COMPUTED_VALUE"""),"Csehország")</f>
        <v>Csehország</v>
      </c>
      <c r="O58" s="14" t="str">
        <f ca="1">IFERROR(__xludf.DUMMYFUNCTION("""COMPUTED_VALUE"""),"Ceko")</f>
        <v>Ceko</v>
      </c>
      <c r="P58" s="14" t="str">
        <f ca="1">IFERROR(__xludf.DUMMYFUNCTION("""COMPUTED_VALUE"""),"Rep. Ceca")</f>
        <v>Rep. Ceca</v>
      </c>
      <c r="Q58" s="14" t="str">
        <f ca="1">IFERROR(__xludf.DUMMYFUNCTION("""COMPUTED_VALUE"""),"체코")</f>
        <v>체코</v>
      </c>
      <c r="R58" s="14" t="str">
        <f ca="1">IFERROR(__xludf.DUMMYFUNCTION("""COMPUTED_VALUE"""),"Czechy")</f>
        <v>Czechy</v>
      </c>
      <c r="S58" s="14" t="str">
        <f ca="1">IFERROR(__xludf.DUMMYFUNCTION("""COMPUTED_VALUE"""),"Chéquia")</f>
        <v>Chéquia</v>
      </c>
      <c r="T58" s="14" t="str">
        <f ca="1">IFERROR(__xludf.DUMMYFUNCTION("""COMPUTED_VALUE"""),"Cehia")</f>
        <v>Cehia</v>
      </c>
      <c r="U58" s="14" t="str">
        <f ca="1">IFERROR(__xludf.DUMMYFUNCTION("""COMPUTED_VALUE"""),"Češka")</f>
        <v>Češka</v>
      </c>
      <c r="V58" s="14" t="str">
        <f ca="1">IFERROR(__xludf.DUMMYFUNCTION("""COMPUTED_VALUE"""),"Чехия")</f>
        <v>Чехия</v>
      </c>
      <c r="W58" s="14" t="str">
        <f ca="1">IFERROR(__xludf.DUMMYFUNCTION("""COMPUTED_VALUE"""),"Tjeckien")</f>
        <v>Tjeckien</v>
      </c>
      <c r="X58" s="14" t="str">
        <f ca="1">IFERROR(__xludf.DUMMYFUNCTION("""COMPUTED_VALUE"""),"Češka")</f>
        <v>Češka</v>
      </c>
      <c r="Y58" s="14" t="str">
        <f ca="1">IFERROR(__xludf.DUMMYFUNCTION("""COMPUTED_VALUE"""),"Česko")</f>
        <v>Česko</v>
      </c>
      <c r="Z58" s="14" t="str">
        <f ca="1">IFERROR(__xludf.DUMMYFUNCTION("""COMPUTED_VALUE"""),"เช็กเกีย")</f>
        <v>เช็กเกีย</v>
      </c>
      <c r="AA58" s="14" t="str">
        <f ca="1">IFERROR(__xludf.DUMMYFUNCTION("""COMPUTED_VALUE"""),"Çek Cumhuriyeti")</f>
        <v>Çek Cumhuriyeti</v>
      </c>
      <c r="AB58" s="14" t="str">
        <f ca="1">IFERROR(__xludf.DUMMYFUNCTION("""COMPUTED_VALUE"""),"ÇEKYA")</f>
        <v>ÇEKYA</v>
      </c>
      <c r="AC58" s="14" t="str">
        <f ca="1">IFERROR(__xludf.DUMMYFUNCTION("""COMPUTED_VALUE"""),"Чехія")</f>
        <v>Чехія</v>
      </c>
      <c r="AD58" s="14" t="str">
        <f ca="1">IFERROR(__xludf.DUMMYFUNCTION("""COMPUTED_VALUE"""),"Séc")</f>
        <v>Séc</v>
      </c>
      <c r="AE58" s="14" t="str">
        <f ca="1">IFERROR(__xludf.DUMMYFUNCTION("""COMPUTED_VALUE"""),"Чехия")</f>
        <v>Чехия</v>
      </c>
      <c r="AF58" s="14"/>
    </row>
    <row r="59" spans="1:32" ht="13" x14ac:dyDescent="0.15">
      <c r="A59" s="14" t="str">
        <f ca="1">IFERROR(__xludf.DUMMYFUNCTION("""COMPUTED_VALUE"""),"DE")</f>
        <v>DE</v>
      </c>
      <c r="B59" s="14" t="str">
        <f ca="1">IFERROR(__xludf.DUMMYFUNCTION("""COMPUTED_VALUE"""),"Germany")</f>
        <v>Germany</v>
      </c>
      <c r="C59" s="14" t="str">
        <f ca="1">IFERROR(__xludf.DUMMYFUNCTION("""COMPUTED_VALUE"""),"ألمانيا")</f>
        <v>ألمانيا</v>
      </c>
      <c r="D59" s="14" t="str">
        <f ca="1">IFERROR(__xludf.DUMMYFUNCTION("""COMPUTED_VALUE"""),"Германия")</f>
        <v>Германия</v>
      </c>
      <c r="E59" s="14" t="str">
        <f ca="1">IFERROR(__xludf.DUMMYFUNCTION("""COMPUTED_VALUE"""),"Alemanha")</f>
        <v>Alemanha</v>
      </c>
      <c r="F59" s="14" t="str">
        <f ca="1">IFERROR(__xludf.DUMMYFUNCTION("""COMPUTED_VALUE"""),"Германія")</f>
        <v>Германія</v>
      </c>
      <c r="G59" s="14" t="str">
        <f ca="1">IFERROR(__xludf.DUMMYFUNCTION("""COMPUTED_VALUE"""),"Německo")</f>
        <v>Německo</v>
      </c>
      <c r="H59" s="14" t="str">
        <f ca="1">IFERROR(__xludf.DUMMYFUNCTION("""COMPUTED_VALUE"""),"Deutschland")</f>
        <v>Deutschland</v>
      </c>
      <c r="I59" s="14" t="str">
        <f ca="1">IFERROR(__xludf.DUMMYFUNCTION("""COMPUTED_VALUE"""),"Alemania")</f>
        <v>Alemania</v>
      </c>
      <c r="J59" s="14" t="str">
        <f ca="1">IFERROR(__xludf.DUMMYFUNCTION("""COMPUTED_VALUE"""),"Saksa")</f>
        <v>Saksa</v>
      </c>
      <c r="K59" s="14" t="str">
        <f ca="1">IFERROR(__xludf.DUMMYFUNCTION("""COMPUTED_VALUE"""),"Γερμανία")</f>
        <v>Γερμανία</v>
      </c>
      <c r="L59" s="14" t="str">
        <f ca="1">IFERROR(__xludf.DUMMYFUNCTION("""COMPUTED_VALUE"""),"ΓΕΡΜΑΝΙΑ")</f>
        <v>ΓΕΡΜΑΝΙΑ</v>
      </c>
      <c r="M59" s="14" t="str">
        <f ca="1">IFERROR(__xludf.DUMMYFUNCTION("""COMPUTED_VALUE"""),"Njemačka")</f>
        <v>Njemačka</v>
      </c>
      <c r="N59" s="14" t="str">
        <f ca="1">IFERROR(__xludf.DUMMYFUNCTION("""COMPUTED_VALUE"""),"Németország")</f>
        <v>Németország</v>
      </c>
      <c r="O59" s="14" t="str">
        <f ca="1">IFERROR(__xludf.DUMMYFUNCTION("""COMPUTED_VALUE"""),"Jerman")</f>
        <v>Jerman</v>
      </c>
      <c r="P59" s="14" t="str">
        <f ca="1">IFERROR(__xludf.DUMMYFUNCTION("""COMPUTED_VALUE"""),"Germania")</f>
        <v>Germania</v>
      </c>
      <c r="Q59" s="14" t="str">
        <f ca="1">IFERROR(__xludf.DUMMYFUNCTION("""COMPUTED_VALUE"""),"독일")</f>
        <v>독일</v>
      </c>
      <c r="R59" s="14" t="str">
        <f ca="1">IFERROR(__xludf.DUMMYFUNCTION("""COMPUTED_VALUE"""),"Niemcy")</f>
        <v>Niemcy</v>
      </c>
      <c r="S59" s="14" t="str">
        <f ca="1">IFERROR(__xludf.DUMMYFUNCTION("""COMPUTED_VALUE"""),"Alemanha")</f>
        <v>Alemanha</v>
      </c>
      <c r="T59" s="14" t="str">
        <f ca="1">IFERROR(__xludf.DUMMYFUNCTION("""COMPUTED_VALUE"""),"Germania")</f>
        <v>Germania</v>
      </c>
      <c r="U59" s="14" t="str">
        <f ca="1">IFERROR(__xludf.DUMMYFUNCTION("""COMPUTED_VALUE"""),"Nemačka")</f>
        <v>Nemačka</v>
      </c>
      <c r="V59" s="14" t="str">
        <f ca="1">IFERROR(__xludf.DUMMYFUNCTION("""COMPUTED_VALUE"""),"Германия")</f>
        <v>Германия</v>
      </c>
      <c r="W59" s="14" t="str">
        <f ca="1">IFERROR(__xludf.DUMMYFUNCTION("""COMPUTED_VALUE"""),"Tyskland")</f>
        <v>Tyskland</v>
      </c>
      <c r="X59" s="14" t="str">
        <f ca="1">IFERROR(__xludf.DUMMYFUNCTION("""COMPUTED_VALUE"""),"Nemčija")</f>
        <v>Nemčija</v>
      </c>
      <c r="Y59" s="14" t="str">
        <f ca="1">IFERROR(__xludf.DUMMYFUNCTION("""COMPUTED_VALUE"""),"Nemecko")</f>
        <v>Nemecko</v>
      </c>
      <c r="Z59" s="14" t="str">
        <f ca="1">IFERROR(__xludf.DUMMYFUNCTION("""COMPUTED_VALUE"""),"เยอรมนี")</f>
        <v>เยอรมนี</v>
      </c>
      <c r="AA59" s="14" t="str">
        <f ca="1">IFERROR(__xludf.DUMMYFUNCTION("""COMPUTED_VALUE"""),"Almanya")</f>
        <v>Almanya</v>
      </c>
      <c r="AB59" s="14" t="str">
        <f ca="1">IFERROR(__xludf.DUMMYFUNCTION("""COMPUTED_VALUE"""),"ALMANYA")</f>
        <v>ALMANYA</v>
      </c>
      <c r="AC59" s="14" t="str">
        <f ca="1">IFERROR(__xludf.DUMMYFUNCTION("""COMPUTED_VALUE"""),"Німеччина")</f>
        <v>Німеччина</v>
      </c>
      <c r="AD59" s="14" t="str">
        <f ca="1">IFERROR(__xludf.DUMMYFUNCTION("""COMPUTED_VALUE"""),"Đức")</f>
        <v>Đức</v>
      </c>
      <c r="AE59" s="14" t="str">
        <f ca="1">IFERROR(__xludf.DUMMYFUNCTION("""COMPUTED_VALUE"""),"Германия")</f>
        <v>Германия</v>
      </c>
      <c r="AF59" s="14"/>
    </row>
    <row r="60" spans="1:32" ht="13" x14ac:dyDescent="0.15">
      <c r="A60" s="14" t="str">
        <f ca="1">IFERROR(__xludf.DUMMYFUNCTION("""COMPUTED_VALUE"""),"DJ")</f>
        <v>DJ</v>
      </c>
      <c r="B60" s="14" t="str">
        <f ca="1">IFERROR(__xludf.DUMMYFUNCTION("""COMPUTED_VALUE"""),"Djibouti")</f>
        <v>Djibouti</v>
      </c>
      <c r="C60" s="14" t="str">
        <f ca="1">IFERROR(__xludf.DUMMYFUNCTION("""COMPUTED_VALUE"""),"جيبوتي")</f>
        <v>جيبوتي</v>
      </c>
      <c r="D60" s="14" t="str">
        <f ca="1">IFERROR(__xludf.DUMMYFUNCTION("""COMPUTED_VALUE"""),"Джибути")</f>
        <v>Джибути</v>
      </c>
      <c r="E60" s="14" t="str">
        <f ca="1">IFERROR(__xludf.DUMMYFUNCTION("""COMPUTED_VALUE"""),"Djibouti")</f>
        <v>Djibouti</v>
      </c>
      <c r="F60" s="14" t="str">
        <f ca="1">IFERROR(__xludf.DUMMYFUNCTION("""COMPUTED_VALUE"""),"Джыбуці")</f>
        <v>Джыбуці</v>
      </c>
      <c r="G60" s="14" t="str">
        <f ca="1">IFERROR(__xludf.DUMMYFUNCTION("""COMPUTED_VALUE"""),"Džibutsko")</f>
        <v>Džibutsko</v>
      </c>
      <c r="H60" s="14" t="str">
        <f ca="1">IFERROR(__xludf.DUMMYFUNCTION("""COMPUTED_VALUE"""),"Dschibuti")</f>
        <v>Dschibuti</v>
      </c>
      <c r="I60" s="14" t="str">
        <f ca="1">IFERROR(__xludf.DUMMYFUNCTION("""COMPUTED_VALUE"""),"Djibouti")</f>
        <v>Djibouti</v>
      </c>
      <c r="J60" s="14" t="str">
        <f ca="1">IFERROR(__xludf.DUMMYFUNCTION("""COMPUTED_VALUE"""),"Djibouti")</f>
        <v>Djibouti</v>
      </c>
      <c r="K60" s="14" t="str">
        <f ca="1">IFERROR(__xludf.DUMMYFUNCTION("""COMPUTED_VALUE"""),"Τζιμπουτί")</f>
        <v>Τζιμπουτί</v>
      </c>
      <c r="L60" s="14" t="str">
        <f ca="1">IFERROR(__xludf.DUMMYFUNCTION("""COMPUTED_VALUE"""),"ΤΖΙΜΠΟΥΤΙ")</f>
        <v>ΤΖΙΜΠΟΥΤΙ</v>
      </c>
      <c r="M60" s="14" t="str">
        <f ca="1">IFERROR(__xludf.DUMMYFUNCTION("""COMPUTED_VALUE"""),"Džibuti")</f>
        <v>Džibuti</v>
      </c>
      <c r="N60" s="14" t="str">
        <f ca="1">IFERROR(__xludf.DUMMYFUNCTION("""COMPUTED_VALUE"""),"Dzsibuti")</f>
        <v>Dzsibuti</v>
      </c>
      <c r="O60" s="14" t="str">
        <f ca="1">IFERROR(__xludf.DUMMYFUNCTION("""COMPUTED_VALUE"""),"Djibouti")</f>
        <v>Djibouti</v>
      </c>
      <c r="P60" s="14" t="str">
        <f ca="1">IFERROR(__xludf.DUMMYFUNCTION("""COMPUTED_VALUE"""),"Gibuti")</f>
        <v>Gibuti</v>
      </c>
      <c r="Q60" s="14" t="str">
        <f ca="1">IFERROR(__xludf.DUMMYFUNCTION("""COMPUTED_VALUE"""),"지부티")</f>
        <v>지부티</v>
      </c>
      <c r="R60" s="14" t="str">
        <f ca="1">IFERROR(__xludf.DUMMYFUNCTION("""COMPUTED_VALUE"""),"Dżibuti")</f>
        <v>Dżibuti</v>
      </c>
      <c r="S60" s="14" t="str">
        <f ca="1">IFERROR(__xludf.DUMMYFUNCTION("""COMPUTED_VALUE"""),"Djibouti")</f>
        <v>Djibouti</v>
      </c>
      <c r="T60" s="14" t="str">
        <f ca="1">IFERROR(__xludf.DUMMYFUNCTION("""COMPUTED_VALUE"""),"Djibouti")</f>
        <v>Djibouti</v>
      </c>
      <c r="U60" s="14" t="str">
        <f ca="1">IFERROR(__xludf.DUMMYFUNCTION("""COMPUTED_VALUE"""),"Džibuti")</f>
        <v>Džibuti</v>
      </c>
      <c r="V60" s="14" t="str">
        <f ca="1">IFERROR(__xludf.DUMMYFUNCTION("""COMPUTED_VALUE"""),"Джибути")</f>
        <v>Джибути</v>
      </c>
      <c r="W60" s="14" t="str">
        <f ca="1">IFERROR(__xludf.DUMMYFUNCTION("""COMPUTED_VALUE"""),"Djibouti")</f>
        <v>Djibouti</v>
      </c>
      <c r="X60" s="14" t="str">
        <f ca="1">IFERROR(__xludf.DUMMYFUNCTION("""COMPUTED_VALUE"""),"Džibuti")</f>
        <v>Džibuti</v>
      </c>
      <c r="Y60" s="14" t="str">
        <f ca="1">IFERROR(__xludf.DUMMYFUNCTION("""COMPUTED_VALUE"""),"Džibutsko")</f>
        <v>Džibutsko</v>
      </c>
      <c r="Z60" s="14" t="str">
        <f ca="1">IFERROR(__xludf.DUMMYFUNCTION("""COMPUTED_VALUE"""),"จิบูตี")</f>
        <v>จิบูตี</v>
      </c>
      <c r="AA60" s="14" t="str">
        <f ca="1">IFERROR(__xludf.DUMMYFUNCTION("""COMPUTED_VALUE"""),"Cibuti")</f>
        <v>Cibuti</v>
      </c>
      <c r="AB60" s="14" t="str">
        <f ca="1">IFERROR(__xludf.DUMMYFUNCTION("""COMPUTED_VALUE"""),"CİBUTİ")</f>
        <v>CİBUTİ</v>
      </c>
      <c r="AC60" s="14" t="str">
        <f ca="1">IFERROR(__xludf.DUMMYFUNCTION("""COMPUTED_VALUE"""),"Джибуті")</f>
        <v>Джибуті</v>
      </c>
      <c r="AD60" s="14" t="str">
        <f ca="1">IFERROR(__xludf.DUMMYFUNCTION("""COMPUTED_VALUE"""),"Djibouti")</f>
        <v>Djibouti</v>
      </c>
      <c r="AE60" s="14" t="str">
        <f ca="1">IFERROR(__xludf.DUMMYFUNCTION("""COMPUTED_VALUE"""),"Джибути")</f>
        <v>Джибути</v>
      </c>
      <c r="AF60" s="14"/>
    </row>
    <row r="61" spans="1:32" ht="13" x14ac:dyDescent="0.15">
      <c r="A61" s="14" t="str">
        <f ca="1">IFERROR(__xludf.DUMMYFUNCTION("""COMPUTED_VALUE"""),"DK")</f>
        <v>DK</v>
      </c>
      <c r="B61" s="14" t="str">
        <f ca="1">IFERROR(__xludf.DUMMYFUNCTION("""COMPUTED_VALUE"""),"Denmark")</f>
        <v>Denmark</v>
      </c>
      <c r="C61" s="14" t="str">
        <f ca="1">IFERROR(__xludf.DUMMYFUNCTION("""COMPUTED_VALUE"""),"الدانمرك")</f>
        <v>الدانمرك</v>
      </c>
      <c r="D61" s="14" t="str">
        <f ca="1">IFERROR(__xludf.DUMMYFUNCTION("""COMPUTED_VALUE"""),"Дания")</f>
        <v>Дания</v>
      </c>
      <c r="E61" s="14" t="str">
        <f ca="1">IFERROR(__xludf.DUMMYFUNCTION("""COMPUTED_VALUE"""),"Dinamarca")</f>
        <v>Dinamarca</v>
      </c>
      <c r="F61" s="14" t="str">
        <f ca="1">IFERROR(__xludf.DUMMYFUNCTION("""COMPUTED_VALUE"""),"Данія")</f>
        <v>Данія</v>
      </c>
      <c r="G61" s="14" t="str">
        <f ca="1">IFERROR(__xludf.DUMMYFUNCTION("""COMPUTED_VALUE"""),"Dánsko")</f>
        <v>Dánsko</v>
      </c>
      <c r="H61" s="14" t="str">
        <f ca="1">IFERROR(__xludf.DUMMYFUNCTION("""COMPUTED_VALUE"""),"Dänemark")</f>
        <v>Dänemark</v>
      </c>
      <c r="I61" s="14" t="str">
        <f ca="1">IFERROR(__xludf.DUMMYFUNCTION("""COMPUTED_VALUE"""),"Dinamarca")</f>
        <v>Dinamarca</v>
      </c>
      <c r="J61" s="14" t="str">
        <f ca="1">IFERROR(__xludf.DUMMYFUNCTION("""COMPUTED_VALUE"""),"Tanska")</f>
        <v>Tanska</v>
      </c>
      <c r="K61" s="14" t="str">
        <f ca="1">IFERROR(__xludf.DUMMYFUNCTION("""COMPUTED_VALUE"""),"Δανία")</f>
        <v>Δανία</v>
      </c>
      <c r="L61" s="14" t="str">
        <f ca="1">IFERROR(__xludf.DUMMYFUNCTION("""COMPUTED_VALUE"""),"ΔΑΝΙΑ")</f>
        <v>ΔΑΝΙΑ</v>
      </c>
      <c r="M61" s="14" t="str">
        <f ca="1">IFERROR(__xludf.DUMMYFUNCTION("""COMPUTED_VALUE"""),"Danska")</f>
        <v>Danska</v>
      </c>
      <c r="N61" s="14" t="str">
        <f ca="1">IFERROR(__xludf.DUMMYFUNCTION("""COMPUTED_VALUE"""),"Dánia")</f>
        <v>Dánia</v>
      </c>
      <c r="O61" s="14" t="str">
        <f ca="1">IFERROR(__xludf.DUMMYFUNCTION("""COMPUTED_VALUE"""),"Denmark")</f>
        <v>Denmark</v>
      </c>
      <c r="P61" s="14" t="str">
        <f ca="1">IFERROR(__xludf.DUMMYFUNCTION("""COMPUTED_VALUE"""),"Danimarca")</f>
        <v>Danimarca</v>
      </c>
      <c r="Q61" s="14" t="str">
        <f ca="1">IFERROR(__xludf.DUMMYFUNCTION("""COMPUTED_VALUE"""),"덴마크")</f>
        <v>덴마크</v>
      </c>
      <c r="R61" s="14" t="str">
        <f ca="1">IFERROR(__xludf.DUMMYFUNCTION("""COMPUTED_VALUE"""),"Dania")</f>
        <v>Dania</v>
      </c>
      <c r="S61" s="14" t="str">
        <f ca="1">IFERROR(__xludf.DUMMYFUNCTION("""COMPUTED_VALUE"""),"Dinamarca")</f>
        <v>Dinamarca</v>
      </c>
      <c r="T61" s="14" t="str">
        <f ca="1">IFERROR(__xludf.DUMMYFUNCTION("""COMPUTED_VALUE"""),"Danemarca")</f>
        <v>Danemarca</v>
      </c>
      <c r="U61" s="14" t="str">
        <f ca="1">IFERROR(__xludf.DUMMYFUNCTION("""COMPUTED_VALUE"""),"Danska")</f>
        <v>Danska</v>
      </c>
      <c r="V61" s="14" t="str">
        <f ca="1">IFERROR(__xludf.DUMMYFUNCTION("""COMPUTED_VALUE"""),"Дания")</f>
        <v>Дания</v>
      </c>
      <c r="W61" s="14" t="str">
        <f ca="1">IFERROR(__xludf.DUMMYFUNCTION("""COMPUTED_VALUE"""),"Danmark")</f>
        <v>Danmark</v>
      </c>
      <c r="X61" s="14" t="str">
        <f ca="1">IFERROR(__xludf.DUMMYFUNCTION("""COMPUTED_VALUE"""),"Danska")</f>
        <v>Danska</v>
      </c>
      <c r="Y61" s="14" t="str">
        <f ca="1">IFERROR(__xludf.DUMMYFUNCTION("""COMPUTED_VALUE"""),"Dánsko")</f>
        <v>Dánsko</v>
      </c>
      <c r="Z61" s="14" t="str">
        <f ca="1">IFERROR(__xludf.DUMMYFUNCTION("""COMPUTED_VALUE"""),"เดนมาร์ก")</f>
        <v>เดนมาร์ก</v>
      </c>
      <c r="AA61" s="14" t="str">
        <f ca="1">IFERROR(__xludf.DUMMYFUNCTION("""COMPUTED_VALUE"""),"Danimarka")</f>
        <v>Danimarka</v>
      </c>
      <c r="AB61" s="14" t="str">
        <f ca="1">IFERROR(__xludf.DUMMYFUNCTION("""COMPUTED_VALUE"""),"DANİMARKA")</f>
        <v>DANİMARKA</v>
      </c>
      <c r="AC61" s="14" t="str">
        <f ca="1">IFERROR(__xludf.DUMMYFUNCTION("""COMPUTED_VALUE"""),"Данія")</f>
        <v>Данія</v>
      </c>
      <c r="AD61" s="14" t="str">
        <f ca="1">IFERROR(__xludf.DUMMYFUNCTION("""COMPUTED_VALUE"""),"Đan Mạch")</f>
        <v>Đan Mạch</v>
      </c>
      <c r="AE61" s="14" t="str">
        <f ca="1">IFERROR(__xludf.DUMMYFUNCTION("""COMPUTED_VALUE"""),"Дания")</f>
        <v>Дания</v>
      </c>
      <c r="AF61" s="14"/>
    </row>
    <row r="62" spans="1:32" ht="13" x14ac:dyDescent="0.15">
      <c r="A62" s="14" t="str">
        <f ca="1">IFERROR(__xludf.DUMMYFUNCTION("""COMPUTED_VALUE"""),"DM")</f>
        <v>DM</v>
      </c>
      <c r="B62" s="14" t="str">
        <f ca="1">IFERROR(__xludf.DUMMYFUNCTION("""COMPUTED_VALUE"""),"Dominica")</f>
        <v>Dominica</v>
      </c>
      <c r="C62" s="14" t="str">
        <f ca="1">IFERROR(__xludf.DUMMYFUNCTION("""COMPUTED_VALUE"""),"دومينيكا")</f>
        <v>دومينيكا</v>
      </c>
      <c r="D62" s="14" t="str">
        <f ca="1">IFERROR(__xludf.DUMMYFUNCTION("""COMPUTED_VALUE"""),"Доминика")</f>
        <v>Доминика</v>
      </c>
      <c r="E62" s="14" t="str">
        <f ca="1">IFERROR(__xludf.DUMMYFUNCTION("""COMPUTED_VALUE"""),"Dominica")</f>
        <v>Dominica</v>
      </c>
      <c r="F62" s="14" t="str">
        <f ca="1">IFERROR(__xludf.DUMMYFUNCTION("""COMPUTED_VALUE"""),"Дамініка")</f>
        <v>Дамініка</v>
      </c>
      <c r="G62" s="14" t="str">
        <f ca="1">IFERROR(__xludf.DUMMYFUNCTION("""COMPUTED_VALUE"""),"Dominika")</f>
        <v>Dominika</v>
      </c>
      <c r="H62" s="14" t="str">
        <f ca="1">IFERROR(__xludf.DUMMYFUNCTION("""COMPUTED_VALUE"""),"Dominica")</f>
        <v>Dominica</v>
      </c>
      <c r="I62" s="14" t="str">
        <f ca="1">IFERROR(__xludf.DUMMYFUNCTION("""COMPUTED_VALUE"""),"Dominica")</f>
        <v>Dominica</v>
      </c>
      <c r="J62" s="14" t="str">
        <f ca="1">IFERROR(__xludf.DUMMYFUNCTION("""COMPUTED_VALUE"""),"Dominica")</f>
        <v>Dominica</v>
      </c>
      <c r="K62" s="14" t="str">
        <f ca="1">IFERROR(__xludf.DUMMYFUNCTION("""COMPUTED_VALUE"""),"Δομινίκα")</f>
        <v>Δομινίκα</v>
      </c>
      <c r="L62" s="14" t="str">
        <f ca="1">IFERROR(__xludf.DUMMYFUNCTION("""COMPUTED_VALUE"""),"ΔΟΜΙΝΙΚΑ")</f>
        <v>ΔΟΜΙΝΙΚΑ</v>
      </c>
      <c r="M62" s="14" t="str">
        <f ca="1">IFERROR(__xludf.DUMMYFUNCTION("""COMPUTED_VALUE"""),"Dominika")</f>
        <v>Dominika</v>
      </c>
      <c r="N62" s="14" t="str">
        <f ca="1">IFERROR(__xludf.DUMMYFUNCTION("""COMPUTED_VALUE"""),"Dominikai Közösség")</f>
        <v>Dominikai Közösség</v>
      </c>
      <c r="O62" s="14" t="str">
        <f ca="1">IFERROR(__xludf.DUMMYFUNCTION("""COMPUTED_VALUE"""),"Dominika")</f>
        <v>Dominika</v>
      </c>
      <c r="P62" s="14" t="str">
        <f ca="1">IFERROR(__xludf.DUMMYFUNCTION("""COMPUTED_VALUE"""),"Dominica")</f>
        <v>Dominica</v>
      </c>
      <c r="Q62" s="14" t="str">
        <f ca="1">IFERROR(__xludf.DUMMYFUNCTION("""COMPUTED_VALUE"""),"도미니카 연방")</f>
        <v>도미니카 연방</v>
      </c>
      <c r="R62" s="14" t="str">
        <f ca="1">IFERROR(__xludf.DUMMYFUNCTION("""COMPUTED_VALUE"""),"Dominika")</f>
        <v>Dominika</v>
      </c>
      <c r="S62" s="14" t="str">
        <f ca="1">IFERROR(__xludf.DUMMYFUNCTION("""COMPUTED_VALUE"""),"Dominica")</f>
        <v>Dominica</v>
      </c>
      <c r="T62" s="14" t="str">
        <f ca="1">IFERROR(__xludf.DUMMYFUNCTION("""COMPUTED_VALUE"""),"Dominica")</f>
        <v>Dominica</v>
      </c>
      <c r="U62" s="14" t="str">
        <f ca="1">IFERROR(__xludf.DUMMYFUNCTION("""COMPUTED_VALUE"""),"Dominika")</f>
        <v>Dominika</v>
      </c>
      <c r="V62" s="14" t="str">
        <f ca="1">IFERROR(__xludf.DUMMYFUNCTION("""COMPUTED_VALUE"""),"Доминика")</f>
        <v>Доминика</v>
      </c>
      <c r="W62" s="14" t="str">
        <f ca="1">IFERROR(__xludf.DUMMYFUNCTION("""COMPUTED_VALUE"""),"Dominica")</f>
        <v>Dominica</v>
      </c>
      <c r="X62" s="14" t="str">
        <f ca="1">IFERROR(__xludf.DUMMYFUNCTION("""COMPUTED_VALUE"""),"Dominika")</f>
        <v>Dominika</v>
      </c>
      <c r="Y62" s="14" t="str">
        <f ca="1">IFERROR(__xludf.DUMMYFUNCTION("""COMPUTED_VALUE"""),"Dominika")</f>
        <v>Dominika</v>
      </c>
      <c r="Z62" s="14" t="str">
        <f ca="1">IFERROR(__xludf.DUMMYFUNCTION("""COMPUTED_VALUE"""),"ดอมินีกา")</f>
        <v>ดอมินีกา</v>
      </c>
      <c r="AA62" s="14" t="str">
        <f ca="1">IFERROR(__xludf.DUMMYFUNCTION("""COMPUTED_VALUE"""),"Dominika")</f>
        <v>Dominika</v>
      </c>
      <c r="AB62" s="14" t="str">
        <f ca="1">IFERROR(__xludf.DUMMYFUNCTION("""COMPUTED_VALUE"""),"DOMİNİKA")</f>
        <v>DOMİNİKA</v>
      </c>
      <c r="AC62" s="14" t="str">
        <f ca="1">IFERROR(__xludf.DUMMYFUNCTION("""COMPUTED_VALUE"""),"Домініка")</f>
        <v>Домініка</v>
      </c>
      <c r="AD62" s="14" t="str">
        <f ca="1">IFERROR(__xludf.DUMMYFUNCTION("""COMPUTED_VALUE"""),"Dominica")</f>
        <v>Dominica</v>
      </c>
      <c r="AE62" s="14" t="str">
        <f ca="1">IFERROR(__xludf.DUMMYFUNCTION("""COMPUTED_VALUE"""),"Доминика")</f>
        <v>Доминика</v>
      </c>
      <c r="AF62" s="14"/>
    </row>
    <row r="63" spans="1:32" ht="13" x14ac:dyDescent="0.15">
      <c r="A63" s="14" t="str">
        <f ca="1">IFERROR(__xludf.DUMMYFUNCTION("""COMPUTED_VALUE"""),"DO")</f>
        <v>DO</v>
      </c>
      <c r="B63" s="14" t="str">
        <f ca="1">IFERROR(__xludf.DUMMYFUNCTION("""COMPUTED_VALUE"""),"Dominican Republic")</f>
        <v>Dominican Republic</v>
      </c>
      <c r="C63" s="14" t="str">
        <f ca="1">IFERROR(__xludf.DUMMYFUNCTION("""COMPUTED_VALUE"""),"جمهورية الدومينيك")</f>
        <v>جمهورية الدومينيك</v>
      </c>
      <c r="D63" s="14" t="str">
        <f ca="1">IFERROR(__xludf.DUMMYFUNCTION("""COMPUTED_VALUE"""),"Доминиканска република")</f>
        <v>Доминиканска република</v>
      </c>
      <c r="E63" s="14" t="str">
        <f ca="1">IFERROR(__xludf.DUMMYFUNCTION("""COMPUTED_VALUE"""),"República Dominicana")</f>
        <v>República Dominicana</v>
      </c>
      <c r="F63" s="14" t="str">
        <f ca="1">IFERROR(__xludf.DUMMYFUNCTION("""COMPUTED_VALUE"""),"Дамініканская Рэспубліка")</f>
        <v>Дамініканская Рэспубліка</v>
      </c>
      <c r="G63" s="14" t="str">
        <f ca="1">IFERROR(__xludf.DUMMYFUNCTION("""COMPUTED_VALUE"""),"Dominikánská republika")</f>
        <v>Dominikánská republika</v>
      </c>
      <c r="H63" s="14" t="str">
        <f ca="1">IFERROR(__xludf.DUMMYFUNCTION("""COMPUTED_VALUE"""),"Dominikanische Republik")</f>
        <v>Dominikanische Republik</v>
      </c>
      <c r="I63" s="14" t="str">
        <f ca="1">IFERROR(__xludf.DUMMYFUNCTION("""COMPUTED_VALUE"""),"República Dominicana")</f>
        <v>República Dominicana</v>
      </c>
      <c r="J63" s="14" t="str">
        <f ca="1">IFERROR(__xludf.DUMMYFUNCTION("""COMPUTED_VALUE"""),"Dominikaaninen tasavalta")</f>
        <v>Dominikaaninen tasavalta</v>
      </c>
      <c r="K63" s="14" t="str">
        <f ca="1">IFERROR(__xludf.DUMMYFUNCTION("""COMPUTED_VALUE"""),"Δομινικανή Δημοκρατία")</f>
        <v>Δομινικανή Δημοκρατία</v>
      </c>
      <c r="L63" s="14" t="str">
        <f ca="1">IFERROR(__xludf.DUMMYFUNCTION("""COMPUTED_VALUE"""),"ΔΟΜΙΝΙΚΑΝΗ ΔΗΜΟΚΡΑΤΙΑ")</f>
        <v>ΔΟΜΙΝΙΚΑΝΗ ΔΗΜΟΚΡΑΤΙΑ</v>
      </c>
      <c r="M63" s="14" t="str">
        <f ca="1">IFERROR(__xludf.DUMMYFUNCTION("""COMPUTED_VALUE"""),"Dominikanska republika")</f>
        <v>Dominikanska republika</v>
      </c>
      <c r="N63" s="14" t="str">
        <f ca="1">IFERROR(__xludf.DUMMYFUNCTION("""COMPUTED_VALUE"""),"Dominikai Köztársaság")</f>
        <v>Dominikai Köztársaság</v>
      </c>
      <c r="O63" s="14" t="str">
        <f ca="1">IFERROR(__xludf.DUMMYFUNCTION("""COMPUTED_VALUE"""),"Dominika, Republik")</f>
        <v>Dominika, Republik</v>
      </c>
      <c r="P63" s="14" t="str">
        <f ca="1">IFERROR(__xludf.DUMMYFUNCTION("""COMPUTED_VALUE"""),"Rep. Dominicana")</f>
        <v>Rep. Dominicana</v>
      </c>
      <c r="Q63" s="14" t="str">
        <f ca="1">IFERROR(__xludf.DUMMYFUNCTION("""COMPUTED_VALUE"""),"도미니카 공화국")</f>
        <v>도미니카 공화국</v>
      </c>
      <c r="R63" s="14" t="str">
        <f ca="1">IFERROR(__xludf.DUMMYFUNCTION("""COMPUTED_VALUE"""),"Dominikana")</f>
        <v>Dominikana</v>
      </c>
      <c r="S63" s="14" t="str">
        <f ca="1">IFERROR(__xludf.DUMMYFUNCTION("""COMPUTED_VALUE"""),"Dominicana, República")</f>
        <v>Dominicana, República</v>
      </c>
      <c r="T63" s="14" t="str">
        <f ca="1">IFERROR(__xludf.DUMMYFUNCTION("""COMPUTED_VALUE"""),"Republica Dominicană")</f>
        <v>Republica Dominicană</v>
      </c>
      <c r="U63" s="14" t="str">
        <f ca="1">IFERROR(__xludf.DUMMYFUNCTION("""COMPUTED_VALUE"""),"Dominikanska Republika")</f>
        <v>Dominikanska Republika</v>
      </c>
      <c r="V63" s="14" t="str">
        <f ca="1">IFERROR(__xludf.DUMMYFUNCTION("""COMPUTED_VALUE"""),"Доминиканская Республика")</f>
        <v>Доминиканская Республика</v>
      </c>
      <c r="W63" s="14" t="str">
        <f ca="1">IFERROR(__xludf.DUMMYFUNCTION("""COMPUTED_VALUE"""),"Dominikanska republiken")</f>
        <v>Dominikanska republiken</v>
      </c>
      <c r="X63" s="14" t="str">
        <f ca="1">IFERROR(__xludf.DUMMYFUNCTION("""COMPUTED_VALUE"""),"Dominikanska republika")</f>
        <v>Dominikanska republika</v>
      </c>
      <c r="Y63" s="14" t="str">
        <f ca="1">IFERROR(__xludf.DUMMYFUNCTION("""COMPUTED_VALUE"""),"Dominikánska republika")</f>
        <v>Dominikánska republika</v>
      </c>
      <c r="Z63" s="14" t="str">
        <f ca="1">IFERROR(__xludf.DUMMYFUNCTION("""COMPUTED_VALUE"""),"สาธารณรัฐโดมินิกัน")</f>
        <v>สาธารณรัฐโดมินิกัน</v>
      </c>
      <c r="AA63" s="14" t="str">
        <f ca="1">IFERROR(__xludf.DUMMYFUNCTION("""COMPUTED_VALUE"""),"Dominik Cumhuriyeti")</f>
        <v>Dominik Cumhuriyeti</v>
      </c>
      <c r="AB63" s="14" t="str">
        <f ca="1">IFERROR(__xludf.DUMMYFUNCTION("""COMPUTED_VALUE"""),"DOMİNİK CUMHURİYETİ")</f>
        <v>DOMİNİK CUMHURİYETİ</v>
      </c>
      <c r="AC63" s="14" t="str">
        <f ca="1">IFERROR(__xludf.DUMMYFUNCTION("""COMPUTED_VALUE"""),"Домініканська Республіка")</f>
        <v>Домініканська Республіка</v>
      </c>
      <c r="AD63" s="14" t="str">
        <f ca="1">IFERROR(__xludf.DUMMYFUNCTION("""COMPUTED_VALUE"""),"Cộng hòa Dominicana")</f>
        <v>Cộng hòa Dominicana</v>
      </c>
      <c r="AE63" s="14" t="str">
        <f ca="1">IFERROR(__xludf.DUMMYFUNCTION("""COMPUTED_VALUE"""),"Доминикан Республикасы")</f>
        <v>Доминикан Республикасы</v>
      </c>
      <c r="AF63" s="14"/>
    </row>
    <row r="64" spans="1:32" ht="13" x14ac:dyDescent="0.15">
      <c r="A64" s="14" t="str">
        <f ca="1">IFERROR(__xludf.DUMMYFUNCTION("""COMPUTED_VALUE"""),"DZ")</f>
        <v>DZ</v>
      </c>
      <c r="B64" s="14" t="str">
        <f ca="1">IFERROR(__xludf.DUMMYFUNCTION("""COMPUTED_VALUE"""),"Algeria")</f>
        <v>Algeria</v>
      </c>
      <c r="C64" s="14" t="str">
        <f ca="1">IFERROR(__xludf.DUMMYFUNCTION("""COMPUTED_VALUE"""),"الجزائر")</f>
        <v>الجزائر</v>
      </c>
      <c r="D64" s="14" t="str">
        <f ca="1">IFERROR(__xludf.DUMMYFUNCTION("""COMPUTED_VALUE"""),"Алжир")</f>
        <v>Алжир</v>
      </c>
      <c r="E64" s="14" t="str">
        <f ca="1">IFERROR(__xludf.DUMMYFUNCTION("""COMPUTED_VALUE"""),"Argélia")</f>
        <v>Argélia</v>
      </c>
      <c r="F64" s="14" t="str">
        <f ca="1">IFERROR(__xludf.DUMMYFUNCTION("""COMPUTED_VALUE"""),"Алжыр")</f>
        <v>Алжыр</v>
      </c>
      <c r="G64" s="14" t="str">
        <f ca="1">IFERROR(__xludf.DUMMYFUNCTION("""COMPUTED_VALUE"""),"Alžírsko")</f>
        <v>Alžírsko</v>
      </c>
      <c r="H64" s="14" t="str">
        <f ca="1">IFERROR(__xludf.DUMMYFUNCTION("""COMPUTED_VALUE"""),"Algerien")</f>
        <v>Algerien</v>
      </c>
      <c r="I64" s="14" t="str">
        <f ca="1">IFERROR(__xludf.DUMMYFUNCTION("""COMPUTED_VALUE"""),"Argelia")</f>
        <v>Argelia</v>
      </c>
      <c r="J64" s="14" t="str">
        <f ca="1">IFERROR(__xludf.DUMMYFUNCTION("""COMPUTED_VALUE"""),"Algeria")</f>
        <v>Algeria</v>
      </c>
      <c r="K64" s="14" t="str">
        <f ca="1">IFERROR(__xludf.DUMMYFUNCTION("""COMPUTED_VALUE"""),"Αλγερία")</f>
        <v>Αλγερία</v>
      </c>
      <c r="L64" s="14" t="str">
        <f ca="1">IFERROR(__xludf.DUMMYFUNCTION("""COMPUTED_VALUE"""),"ΑΛΓΕΡΙΑ")</f>
        <v>ΑΛΓΕΡΙΑ</v>
      </c>
      <c r="M64" s="14" t="str">
        <f ca="1">IFERROR(__xludf.DUMMYFUNCTION("""COMPUTED_VALUE"""),"Alžir")</f>
        <v>Alžir</v>
      </c>
      <c r="N64" s="14" t="str">
        <f ca="1">IFERROR(__xludf.DUMMYFUNCTION("""COMPUTED_VALUE"""),"Algéria")</f>
        <v>Algéria</v>
      </c>
      <c r="O64" s="14" t="str">
        <f ca="1">IFERROR(__xludf.DUMMYFUNCTION("""COMPUTED_VALUE"""),"Aljazair")</f>
        <v>Aljazair</v>
      </c>
      <c r="P64" s="14" t="str">
        <f ca="1">IFERROR(__xludf.DUMMYFUNCTION("""COMPUTED_VALUE"""),"Algeria")</f>
        <v>Algeria</v>
      </c>
      <c r="Q64" s="14" t="str">
        <f ca="1">IFERROR(__xludf.DUMMYFUNCTION("""COMPUTED_VALUE"""),"알제리")</f>
        <v>알제리</v>
      </c>
      <c r="R64" s="14" t="str">
        <f ca="1">IFERROR(__xludf.DUMMYFUNCTION("""COMPUTED_VALUE"""),"Algieria")</f>
        <v>Algieria</v>
      </c>
      <c r="S64" s="14" t="str">
        <f ca="1">IFERROR(__xludf.DUMMYFUNCTION("""COMPUTED_VALUE"""),"Argélia")</f>
        <v>Argélia</v>
      </c>
      <c r="T64" s="14" t="str">
        <f ca="1">IFERROR(__xludf.DUMMYFUNCTION("""COMPUTED_VALUE"""),"Algeria")</f>
        <v>Algeria</v>
      </c>
      <c r="U64" s="14" t="str">
        <f ca="1">IFERROR(__xludf.DUMMYFUNCTION("""COMPUTED_VALUE"""),"Alžir")</f>
        <v>Alžir</v>
      </c>
      <c r="V64" s="14" t="str">
        <f ca="1">IFERROR(__xludf.DUMMYFUNCTION("""COMPUTED_VALUE"""),"Алжир")</f>
        <v>Алжир</v>
      </c>
      <c r="W64" s="14" t="str">
        <f ca="1">IFERROR(__xludf.DUMMYFUNCTION("""COMPUTED_VALUE"""),"Algeriet")</f>
        <v>Algeriet</v>
      </c>
      <c r="X64" s="14" t="str">
        <f ca="1">IFERROR(__xludf.DUMMYFUNCTION("""COMPUTED_VALUE"""),"Alžirija")</f>
        <v>Alžirija</v>
      </c>
      <c r="Y64" s="14" t="str">
        <f ca="1">IFERROR(__xludf.DUMMYFUNCTION("""COMPUTED_VALUE"""),"Alžírsko")</f>
        <v>Alžírsko</v>
      </c>
      <c r="Z64" s="14" t="str">
        <f ca="1">IFERROR(__xludf.DUMMYFUNCTION("""COMPUTED_VALUE"""),"แอลจีเรีย")</f>
        <v>แอลจีเรีย</v>
      </c>
      <c r="AA64" s="14" t="str">
        <f ca="1">IFERROR(__xludf.DUMMYFUNCTION("""COMPUTED_VALUE"""),"Cezayir")</f>
        <v>Cezayir</v>
      </c>
      <c r="AB64" s="14" t="str">
        <f ca="1">IFERROR(__xludf.DUMMYFUNCTION("""COMPUTED_VALUE"""),"CEZAYİR")</f>
        <v>CEZAYİR</v>
      </c>
      <c r="AC64" s="14" t="str">
        <f ca="1">IFERROR(__xludf.DUMMYFUNCTION("""COMPUTED_VALUE"""),"Алжир")</f>
        <v>Алжир</v>
      </c>
      <c r="AD64" s="14" t="str">
        <f ca="1">IFERROR(__xludf.DUMMYFUNCTION("""COMPUTED_VALUE"""),"Algérie")</f>
        <v>Algérie</v>
      </c>
      <c r="AE64" s="14" t="str">
        <f ca="1">IFERROR(__xludf.DUMMYFUNCTION("""COMPUTED_VALUE"""),"Алжир")</f>
        <v>Алжир</v>
      </c>
      <c r="AF64" s="14"/>
    </row>
    <row r="65" spans="1:32" ht="13" x14ac:dyDescent="0.15">
      <c r="A65" s="14" t="str">
        <f ca="1">IFERROR(__xludf.DUMMYFUNCTION("""COMPUTED_VALUE"""),"EC")</f>
        <v>EC</v>
      </c>
      <c r="B65" s="14" t="str">
        <f ca="1">IFERROR(__xludf.DUMMYFUNCTION("""COMPUTED_VALUE"""),"Ecuador")</f>
        <v>Ecuador</v>
      </c>
      <c r="C65" s="14" t="str">
        <f ca="1">IFERROR(__xludf.DUMMYFUNCTION("""COMPUTED_VALUE"""),"الاكوادور")</f>
        <v>الاكوادور</v>
      </c>
      <c r="D65" s="14" t="str">
        <f ca="1">IFERROR(__xludf.DUMMYFUNCTION("""COMPUTED_VALUE"""),"Еквадор")</f>
        <v>Еквадор</v>
      </c>
      <c r="E65" s="14" t="str">
        <f ca="1">IFERROR(__xludf.DUMMYFUNCTION("""COMPUTED_VALUE"""),"Equador")</f>
        <v>Equador</v>
      </c>
      <c r="F65" s="14" t="str">
        <f ca="1">IFERROR(__xludf.DUMMYFUNCTION("""COMPUTED_VALUE"""),"Эквадор")</f>
        <v>Эквадор</v>
      </c>
      <c r="G65" s="14" t="str">
        <f ca="1">IFERROR(__xludf.DUMMYFUNCTION("""COMPUTED_VALUE"""),"Ekvádor")</f>
        <v>Ekvádor</v>
      </c>
      <c r="H65" s="14" t="str">
        <f ca="1">IFERROR(__xludf.DUMMYFUNCTION("""COMPUTED_VALUE"""),"Ecuador")</f>
        <v>Ecuador</v>
      </c>
      <c r="I65" s="14" t="str">
        <f ca="1">IFERROR(__xludf.DUMMYFUNCTION("""COMPUTED_VALUE"""),"Ecuador")</f>
        <v>Ecuador</v>
      </c>
      <c r="J65" s="14" t="str">
        <f ca="1">IFERROR(__xludf.DUMMYFUNCTION("""COMPUTED_VALUE"""),"Ecuador")</f>
        <v>Ecuador</v>
      </c>
      <c r="K65" s="14" t="str">
        <f ca="1">IFERROR(__xludf.DUMMYFUNCTION("""COMPUTED_VALUE"""),"Ισημερινός")</f>
        <v>Ισημερινός</v>
      </c>
      <c r="L65" s="14" t="str">
        <f ca="1">IFERROR(__xludf.DUMMYFUNCTION("""COMPUTED_VALUE"""),"ΙΣΗΜΕΡΙΝΟΣ")</f>
        <v>ΙΣΗΜΕΡΙΝΟΣ</v>
      </c>
      <c r="M65" s="14" t="str">
        <f ca="1">IFERROR(__xludf.DUMMYFUNCTION("""COMPUTED_VALUE"""),"Ekvador")</f>
        <v>Ekvador</v>
      </c>
      <c r="N65" s="14" t="str">
        <f ca="1">IFERROR(__xludf.DUMMYFUNCTION("""COMPUTED_VALUE"""),"Ecuador")</f>
        <v>Ecuador</v>
      </c>
      <c r="O65" s="14" t="str">
        <f ca="1">IFERROR(__xludf.DUMMYFUNCTION("""COMPUTED_VALUE"""),"Ekuador")</f>
        <v>Ekuador</v>
      </c>
      <c r="P65" s="14" t="str">
        <f ca="1">IFERROR(__xludf.DUMMYFUNCTION("""COMPUTED_VALUE"""),"Ecuador")</f>
        <v>Ecuador</v>
      </c>
      <c r="Q65" s="14" t="str">
        <f ca="1">IFERROR(__xludf.DUMMYFUNCTION("""COMPUTED_VALUE"""),"에콰도르")</f>
        <v>에콰도르</v>
      </c>
      <c r="R65" s="14" t="str">
        <f ca="1">IFERROR(__xludf.DUMMYFUNCTION("""COMPUTED_VALUE"""),"Ekwador")</f>
        <v>Ekwador</v>
      </c>
      <c r="S65" s="14" t="str">
        <f ca="1">IFERROR(__xludf.DUMMYFUNCTION("""COMPUTED_VALUE"""),"Equador")</f>
        <v>Equador</v>
      </c>
      <c r="T65" s="14" t="str">
        <f ca="1">IFERROR(__xludf.DUMMYFUNCTION("""COMPUTED_VALUE"""),"Ecuador")</f>
        <v>Ecuador</v>
      </c>
      <c r="U65" s="14" t="str">
        <f ca="1">IFERROR(__xludf.DUMMYFUNCTION("""COMPUTED_VALUE"""),"Ekvador")</f>
        <v>Ekvador</v>
      </c>
      <c r="V65" s="14" t="str">
        <f ca="1">IFERROR(__xludf.DUMMYFUNCTION("""COMPUTED_VALUE"""),"Эквадор")</f>
        <v>Эквадор</v>
      </c>
      <c r="W65" s="14" t="str">
        <f ca="1">IFERROR(__xludf.DUMMYFUNCTION("""COMPUTED_VALUE"""),"Ecuador")</f>
        <v>Ecuador</v>
      </c>
      <c r="X65" s="14" t="str">
        <f ca="1">IFERROR(__xludf.DUMMYFUNCTION("""COMPUTED_VALUE"""),"Ekvador")</f>
        <v>Ekvador</v>
      </c>
      <c r="Y65" s="14" t="str">
        <f ca="1">IFERROR(__xludf.DUMMYFUNCTION("""COMPUTED_VALUE"""),"Ekvádor")</f>
        <v>Ekvádor</v>
      </c>
      <c r="Z65" s="14" t="str">
        <f ca="1">IFERROR(__xludf.DUMMYFUNCTION("""COMPUTED_VALUE"""),"เอกวาดอร์")</f>
        <v>เอกวาดอร์</v>
      </c>
      <c r="AA65" s="14" t="str">
        <f ca="1">IFERROR(__xludf.DUMMYFUNCTION("""COMPUTED_VALUE"""),"Ekvador")</f>
        <v>Ekvador</v>
      </c>
      <c r="AB65" s="14" t="str">
        <f ca="1">IFERROR(__xludf.DUMMYFUNCTION("""COMPUTED_VALUE"""),"EKVADOR")</f>
        <v>EKVADOR</v>
      </c>
      <c r="AC65" s="14" t="str">
        <f ca="1">IFERROR(__xludf.DUMMYFUNCTION("""COMPUTED_VALUE"""),"Еквадор")</f>
        <v>Еквадор</v>
      </c>
      <c r="AD65" s="14" t="str">
        <f ca="1">IFERROR(__xludf.DUMMYFUNCTION("""COMPUTED_VALUE"""),"Ecuador")</f>
        <v>Ecuador</v>
      </c>
      <c r="AE65" s="14" t="str">
        <f ca="1">IFERROR(__xludf.DUMMYFUNCTION("""COMPUTED_VALUE"""),"Эквадор")</f>
        <v>Эквадор</v>
      </c>
      <c r="AF65" s="14"/>
    </row>
    <row r="66" spans="1:32" ht="13" x14ac:dyDescent="0.15">
      <c r="A66" s="14" t="str">
        <f ca="1">IFERROR(__xludf.DUMMYFUNCTION("""COMPUTED_VALUE"""),"EE")</f>
        <v>EE</v>
      </c>
      <c r="B66" s="14" t="str">
        <f ca="1">IFERROR(__xludf.DUMMYFUNCTION("""COMPUTED_VALUE"""),"Estonia")</f>
        <v>Estonia</v>
      </c>
      <c r="C66" s="14" t="str">
        <f ca="1">IFERROR(__xludf.DUMMYFUNCTION("""COMPUTED_VALUE"""),"استونيا")</f>
        <v>استونيا</v>
      </c>
      <c r="D66" s="14" t="str">
        <f ca="1">IFERROR(__xludf.DUMMYFUNCTION("""COMPUTED_VALUE"""),"Естония")</f>
        <v>Естония</v>
      </c>
      <c r="E66" s="14" t="str">
        <f ca="1">IFERROR(__xludf.DUMMYFUNCTION("""COMPUTED_VALUE"""),"Estônia")</f>
        <v>Estônia</v>
      </c>
      <c r="F66" s="14" t="str">
        <f ca="1">IFERROR(__xludf.DUMMYFUNCTION("""COMPUTED_VALUE"""),"Эстонія")</f>
        <v>Эстонія</v>
      </c>
      <c r="G66" s="14" t="str">
        <f ca="1">IFERROR(__xludf.DUMMYFUNCTION("""COMPUTED_VALUE"""),"Estonsko")</f>
        <v>Estonsko</v>
      </c>
      <c r="H66" s="14" t="str">
        <f ca="1">IFERROR(__xludf.DUMMYFUNCTION("""COMPUTED_VALUE"""),"Estland")</f>
        <v>Estland</v>
      </c>
      <c r="I66" s="14" t="str">
        <f ca="1">IFERROR(__xludf.DUMMYFUNCTION("""COMPUTED_VALUE"""),"Estonia")</f>
        <v>Estonia</v>
      </c>
      <c r="J66" s="14" t="str">
        <f ca="1">IFERROR(__xludf.DUMMYFUNCTION("""COMPUTED_VALUE"""),"Viro")</f>
        <v>Viro</v>
      </c>
      <c r="K66" s="14" t="str">
        <f ca="1">IFERROR(__xludf.DUMMYFUNCTION("""COMPUTED_VALUE"""),"Εσθονία")</f>
        <v>Εσθονία</v>
      </c>
      <c r="L66" s="14" t="str">
        <f ca="1">IFERROR(__xludf.DUMMYFUNCTION("""COMPUTED_VALUE"""),"ΕΣΘΟΝΙΑ")</f>
        <v>ΕΣΘΟΝΙΑ</v>
      </c>
      <c r="M66" s="14" t="str">
        <f ca="1">IFERROR(__xludf.DUMMYFUNCTION("""COMPUTED_VALUE"""),"Estonija")</f>
        <v>Estonija</v>
      </c>
      <c r="N66" s="14" t="str">
        <f ca="1">IFERROR(__xludf.DUMMYFUNCTION("""COMPUTED_VALUE"""),"Észtország")</f>
        <v>Észtország</v>
      </c>
      <c r="O66" s="14" t="str">
        <f ca="1">IFERROR(__xludf.DUMMYFUNCTION("""COMPUTED_VALUE"""),"Estonia")</f>
        <v>Estonia</v>
      </c>
      <c r="P66" s="14" t="str">
        <f ca="1">IFERROR(__xludf.DUMMYFUNCTION("""COMPUTED_VALUE"""),"Estonia")</f>
        <v>Estonia</v>
      </c>
      <c r="Q66" s="14" t="str">
        <f ca="1">IFERROR(__xludf.DUMMYFUNCTION("""COMPUTED_VALUE"""),"에스토니아")</f>
        <v>에스토니아</v>
      </c>
      <c r="R66" s="14" t="str">
        <f ca="1">IFERROR(__xludf.DUMMYFUNCTION("""COMPUTED_VALUE"""),"Estonia")</f>
        <v>Estonia</v>
      </c>
      <c r="S66" s="14" t="str">
        <f ca="1">IFERROR(__xludf.DUMMYFUNCTION("""COMPUTED_VALUE"""),"Estónia")</f>
        <v>Estónia</v>
      </c>
      <c r="T66" s="14" t="str">
        <f ca="1">IFERROR(__xludf.DUMMYFUNCTION("""COMPUTED_VALUE"""),"Estonia")</f>
        <v>Estonia</v>
      </c>
      <c r="U66" s="14" t="str">
        <f ca="1">IFERROR(__xludf.DUMMYFUNCTION("""COMPUTED_VALUE"""),"Estonija")</f>
        <v>Estonija</v>
      </c>
      <c r="V66" s="14" t="str">
        <f ca="1">IFERROR(__xludf.DUMMYFUNCTION("""COMPUTED_VALUE"""),"Эстония")</f>
        <v>Эстония</v>
      </c>
      <c r="W66" s="14" t="str">
        <f ca="1">IFERROR(__xludf.DUMMYFUNCTION("""COMPUTED_VALUE"""),"Estland")</f>
        <v>Estland</v>
      </c>
      <c r="X66" s="14" t="str">
        <f ca="1">IFERROR(__xludf.DUMMYFUNCTION("""COMPUTED_VALUE"""),"Estonija")</f>
        <v>Estonija</v>
      </c>
      <c r="Y66" s="14" t="str">
        <f ca="1">IFERROR(__xludf.DUMMYFUNCTION("""COMPUTED_VALUE"""),"Estónsko")</f>
        <v>Estónsko</v>
      </c>
      <c r="Z66" s="14" t="str">
        <f ca="1">IFERROR(__xludf.DUMMYFUNCTION("""COMPUTED_VALUE"""),"เอสโตเนีย")</f>
        <v>เอสโตเนีย</v>
      </c>
      <c r="AA66" s="14" t="str">
        <f ca="1">IFERROR(__xludf.DUMMYFUNCTION("""COMPUTED_VALUE"""),"Estonya")</f>
        <v>Estonya</v>
      </c>
      <c r="AB66" s="14" t="str">
        <f ca="1">IFERROR(__xludf.DUMMYFUNCTION("""COMPUTED_VALUE"""),"ESTONYA")</f>
        <v>ESTONYA</v>
      </c>
      <c r="AC66" s="14" t="str">
        <f ca="1">IFERROR(__xludf.DUMMYFUNCTION("""COMPUTED_VALUE"""),"Естонія")</f>
        <v>Естонія</v>
      </c>
      <c r="AD66" s="14" t="str">
        <f ca="1">IFERROR(__xludf.DUMMYFUNCTION("""COMPUTED_VALUE"""),"Estonia")</f>
        <v>Estonia</v>
      </c>
      <c r="AE66" s="14" t="str">
        <f ca="1">IFERROR(__xludf.DUMMYFUNCTION("""COMPUTED_VALUE"""),"Эстония")</f>
        <v>Эстония</v>
      </c>
      <c r="AF66" s="14"/>
    </row>
    <row r="67" spans="1:32" ht="13" x14ac:dyDescent="0.15">
      <c r="A67" s="14" t="str">
        <f ca="1">IFERROR(__xludf.DUMMYFUNCTION("""COMPUTED_VALUE"""),"EG")</f>
        <v>EG</v>
      </c>
      <c r="B67" s="14" t="str">
        <f ca="1">IFERROR(__xludf.DUMMYFUNCTION("""COMPUTED_VALUE"""),"Egypt")</f>
        <v>Egypt</v>
      </c>
      <c r="C67" s="14" t="str">
        <f ca="1">IFERROR(__xludf.DUMMYFUNCTION("""COMPUTED_VALUE"""),"مصر")</f>
        <v>مصر</v>
      </c>
      <c r="D67" s="14" t="str">
        <f ca="1">IFERROR(__xludf.DUMMYFUNCTION("""COMPUTED_VALUE"""),"Египет")</f>
        <v>Египет</v>
      </c>
      <c r="E67" s="14" t="str">
        <f ca="1">IFERROR(__xludf.DUMMYFUNCTION("""COMPUTED_VALUE"""),"Egito")</f>
        <v>Egito</v>
      </c>
      <c r="F67" s="14" t="str">
        <f ca="1">IFERROR(__xludf.DUMMYFUNCTION("""COMPUTED_VALUE"""),"Егіпет")</f>
        <v>Егіпет</v>
      </c>
      <c r="G67" s="14" t="str">
        <f ca="1">IFERROR(__xludf.DUMMYFUNCTION("""COMPUTED_VALUE"""),"Egypt")</f>
        <v>Egypt</v>
      </c>
      <c r="H67" s="14" t="str">
        <f ca="1">IFERROR(__xludf.DUMMYFUNCTION("""COMPUTED_VALUE"""),"Ägypten")</f>
        <v>Ägypten</v>
      </c>
      <c r="I67" s="14" t="str">
        <f ca="1">IFERROR(__xludf.DUMMYFUNCTION("""COMPUTED_VALUE"""),"Egipto")</f>
        <v>Egipto</v>
      </c>
      <c r="J67" s="14" t="str">
        <f ca="1">IFERROR(__xludf.DUMMYFUNCTION("""COMPUTED_VALUE"""),"Egypti")</f>
        <v>Egypti</v>
      </c>
      <c r="K67" s="14" t="str">
        <f ca="1">IFERROR(__xludf.DUMMYFUNCTION("""COMPUTED_VALUE"""),"Αίγυπτος")</f>
        <v>Αίγυπτος</v>
      </c>
      <c r="L67" s="14" t="str">
        <f ca="1">IFERROR(__xludf.DUMMYFUNCTION("""COMPUTED_VALUE"""),"ΑΙΓΥΠΤΟΣ")</f>
        <v>ΑΙΓΥΠΤΟΣ</v>
      </c>
      <c r="M67" s="14" t="str">
        <f ca="1">IFERROR(__xludf.DUMMYFUNCTION("""COMPUTED_VALUE"""),"Egipat")</f>
        <v>Egipat</v>
      </c>
      <c r="N67" s="14" t="str">
        <f ca="1">IFERROR(__xludf.DUMMYFUNCTION("""COMPUTED_VALUE"""),"Egyiptom")</f>
        <v>Egyiptom</v>
      </c>
      <c r="O67" s="14" t="str">
        <f ca="1">IFERROR(__xludf.DUMMYFUNCTION("""COMPUTED_VALUE"""),"Mesir")</f>
        <v>Mesir</v>
      </c>
      <c r="P67" s="14" t="str">
        <f ca="1">IFERROR(__xludf.DUMMYFUNCTION("""COMPUTED_VALUE"""),"Egitto")</f>
        <v>Egitto</v>
      </c>
      <c r="Q67" s="14" t="str">
        <f ca="1">IFERROR(__xludf.DUMMYFUNCTION("""COMPUTED_VALUE"""),"이집트")</f>
        <v>이집트</v>
      </c>
      <c r="R67" s="14" t="str">
        <f ca="1">IFERROR(__xludf.DUMMYFUNCTION("""COMPUTED_VALUE"""),"Egipt")</f>
        <v>Egipt</v>
      </c>
      <c r="S67" s="14" t="str">
        <f ca="1">IFERROR(__xludf.DUMMYFUNCTION("""COMPUTED_VALUE"""),"Egito")</f>
        <v>Egito</v>
      </c>
      <c r="T67" s="14" t="str">
        <f ca="1">IFERROR(__xludf.DUMMYFUNCTION("""COMPUTED_VALUE"""),"Egipt")</f>
        <v>Egipt</v>
      </c>
      <c r="U67" s="14" t="str">
        <f ca="1">IFERROR(__xludf.DUMMYFUNCTION("""COMPUTED_VALUE"""),"Egipat")</f>
        <v>Egipat</v>
      </c>
      <c r="V67" s="14" t="str">
        <f ca="1">IFERROR(__xludf.DUMMYFUNCTION("""COMPUTED_VALUE"""),"Египет")</f>
        <v>Египет</v>
      </c>
      <c r="W67" s="14" t="str">
        <f ca="1">IFERROR(__xludf.DUMMYFUNCTION("""COMPUTED_VALUE"""),"Egypten")</f>
        <v>Egypten</v>
      </c>
      <c r="X67" s="14" t="str">
        <f ca="1">IFERROR(__xludf.DUMMYFUNCTION("""COMPUTED_VALUE"""),"Egipt")</f>
        <v>Egipt</v>
      </c>
      <c r="Y67" s="14" t="str">
        <f ca="1">IFERROR(__xludf.DUMMYFUNCTION("""COMPUTED_VALUE"""),"Egypt")</f>
        <v>Egypt</v>
      </c>
      <c r="Z67" s="14" t="str">
        <f ca="1">IFERROR(__xludf.DUMMYFUNCTION("""COMPUTED_VALUE"""),"อียิปต์")</f>
        <v>อียิปต์</v>
      </c>
      <c r="AA67" s="14" t="str">
        <f ca="1">IFERROR(__xludf.DUMMYFUNCTION("""COMPUTED_VALUE"""),"Mısır")</f>
        <v>Mısır</v>
      </c>
      <c r="AB67" s="14" t="str">
        <f ca="1">IFERROR(__xludf.DUMMYFUNCTION("""COMPUTED_VALUE"""),"MISIR")</f>
        <v>MISIR</v>
      </c>
      <c r="AC67" s="14" t="str">
        <f ca="1">IFERROR(__xludf.DUMMYFUNCTION("""COMPUTED_VALUE"""),"Єгипет")</f>
        <v>Єгипет</v>
      </c>
      <c r="AD67" s="14" t="str">
        <f ca="1">IFERROR(__xludf.DUMMYFUNCTION("""COMPUTED_VALUE"""),"Ai Cập")</f>
        <v>Ai Cập</v>
      </c>
      <c r="AE67" s="14" t="str">
        <f ca="1">IFERROR(__xludf.DUMMYFUNCTION("""COMPUTED_VALUE"""),"Мысыр")</f>
        <v>Мысыр</v>
      </c>
      <c r="AF67" s="14"/>
    </row>
    <row r="68" spans="1:32" ht="13" x14ac:dyDescent="0.15">
      <c r="A68" s="14" t="str">
        <f ca="1">IFERROR(__xludf.DUMMYFUNCTION("""COMPUTED_VALUE"""),"EH")</f>
        <v>EH</v>
      </c>
      <c r="B68" s="14" t="str">
        <f ca="1">IFERROR(__xludf.DUMMYFUNCTION("""COMPUTED_VALUE"""),"Western Sahara")</f>
        <v>Western Sahara</v>
      </c>
      <c r="C68" s="14" t="str">
        <f ca="1">IFERROR(__xludf.DUMMYFUNCTION("""COMPUTED_VALUE"""),"الصحراء الغربية")</f>
        <v>الصحراء الغربية</v>
      </c>
      <c r="D68" s="14" t="str">
        <f ca="1">IFERROR(__xludf.DUMMYFUNCTION("""COMPUTED_VALUE"""),"Западна Сахара")</f>
        <v>Западна Сахара</v>
      </c>
      <c r="E68" s="14" t="str">
        <f ca="1">IFERROR(__xludf.DUMMYFUNCTION("""COMPUTED_VALUE"""),"Saara Ocidental")</f>
        <v>Saara Ocidental</v>
      </c>
      <c r="F68" s="14" t="str">
        <f ca="1">IFERROR(__xludf.DUMMYFUNCTION("""COMPUTED_VALUE"""),"Заходняя Сахара")</f>
        <v>Заходняя Сахара</v>
      </c>
      <c r="G68" s="14" t="str">
        <f ca="1">IFERROR(__xludf.DUMMYFUNCTION("""COMPUTED_VALUE"""),"Západní Sahara")</f>
        <v>Západní Sahara</v>
      </c>
      <c r="H68" s="14" t="str">
        <f ca="1">IFERROR(__xludf.DUMMYFUNCTION("""COMPUTED_VALUE"""),"Westsahara")</f>
        <v>Westsahara</v>
      </c>
      <c r="I68" s="14" t="str">
        <f ca="1">IFERROR(__xludf.DUMMYFUNCTION("""COMPUTED_VALUE"""),"Sahara Occidental")</f>
        <v>Sahara Occidental</v>
      </c>
      <c r="J68" s="14" t="str">
        <f ca="1">IFERROR(__xludf.DUMMYFUNCTION("""COMPUTED_VALUE"""),"Länsi-Sahara")</f>
        <v>Länsi-Sahara</v>
      </c>
      <c r="K68" s="14" t="str">
        <f ca="1">IFERROR(__xludf.DUMMYFUNCTION("""COMPUTED_VALUE"""),"Δυτική Σαχάρα")</f>
        <v>Δυτική Σαχάρα</v>
      </c>
      <c r="L68" s="14" t="str">
        <f ca="1">IFERROR(__xludf.DUMMYFUNCTION("""COMPUTED_VALUE"""),"ΔΥΤΙΚΗ ΣΑΧΑΡΑ")</f>
        <v>ΔΥΤΙΚΗ ΣΑΧΑΡΑ</v>
      </c>
      <c r="M68" s="14" t="str">
        <f ca="1">IFERROR(__xludf.DUMMYFUNCTION("""COMPUTED_VALUE"""),"Zapadna Sahara")</f>
        <v>Zapadna Sahara</v>
      </c>
      <c r="N68" s="14" t="str">
        <f ca="1">IFERROR(__xludf.DUMMYFUNCTION("""COMPUTED_VALUE"""),"Nyugat-Szahara")</f>
        <v>Nyugat-Szahara</v>
      </c>
      <c r="O68" s="14" t="str">
        <f ca="1">IFERROR(__xludf.DUMMYFUNCTION("""COMPUTED_VALUE"""),"Sahara Barat")</f>
        <v>Sahara Barat</v>
      </c>
      <c r="P68" s="14" t="str">
        <f ca="1">IFERROR(__xludf.DUMMYFUNCTION("""COMPUTED_VALUE"""),"Sahara Occidentale")</f>
        <v>Sahara Occidentale</v>
      </c>
      <c r="Q68" s="14" t="str">
        <f ca="1">IFERROR(__xludf.DUMMYFUNCTION("""COMPUTED_VALUE"""),"서사하라")</f>
        <v>서사하라</v>
      </c>
      <c r="R68" s="14" t="str">
        <f ca="1">IFERROR(__xludf.DUMMYFUNCTION("""COMPUTED_VALUE"""),"Sahara Zachodnia")</f>
        <v>Sahara Zachodnia</v>
      </c>
      <c r="S68" s="14" t="str">
        <f ca="1">IFERROR(__xludf.DUMMYFUNCTION("""COMPUTED_VALUE"""),"Saara Ocidental")</f>
        <v>Saara Ocidental</v>
      </c>
      <c r="T68" s="14" t="str">
        <f ca="1">IFERROR(__xludf.DUMMYFUNCTION("""COMPUTED_VALUE"""),"Sahara Occidentală")</f>
        <v>Sahara Occidentală</v>
      </c>
      <c r="U68" s="14" t="str">
        <f ca="1">IFERROR(__xludf.DUMMYFUNCTION("""COMPUTED_VALUE"""),"Zapadna Sahara")</f>
        <v>Zapadna Sahara</v>
      </c>
      <c r="V68" s="14" t="str">
        <f ca="1">IFERROR(__xludf.DUMMYFUNCTION("""COMPUTED_VALUE"""),"САДР")</f>
        <v>САДР</v>
      </c>
      <c r="W68" s="14" t="str">
        <f ca="1">IFERROR(__xludf.DUMMYFUNCTION("""COMPUTED_VALUE"""),"Västsahara")</f>
        <v>Västsahara</v>
      </c>
      <c r="X68" s="14" t="str">
        <f ca="1">IFERROR(__xludf.DUMMYFUNCTION("""COMPUTED_VALUE"""),"Zahodna Sahara")</f>
        <v>Zahodna Sahara</v>
      </c>
      <c r="Y68" s="14" t="str">
        <f ca="1">IFERROR(__xludf.DUMMYFUNCTION("""COMPUTED_VALUE"""),"Západná Sahara")</f>
        <v>Západná Sahara</v>
      </c>
      <c r="Z68" s="14" t="str">
        <f ca="1">IFERROR(__xludf.DUMMYFUNCTION("""COMPUTED_VALUE"""),"ซาฮาราตะวันตก")</f>
        <v>ซาฮาราตะวันตก</v>
      </c>
      <c r="AA68" s="14" t="str">
        <f ca="1">IFERROR(__xludf.DUMMYFUNCTION("""COMPUTED_VALUE"""),"Batı Sahra")</f>
        <v>Batı Sahra</v>
      </c>
      <c r="AB68" s="14" t="str">
        <f ca="1">IFERROR(__xludf.DUMMYFUNCTION("""COMPUTED_VALUE"""),"BATI SAHRA")</f>
        <v>BATI SAHRA</v>
      </c>
      <c r="AC68" s="14" t="str">
        <f ca="1">IFERROR(__xludf.DUMMYFUNCTION("""COMPUTED_VALUE"""),"Західна Сахара")</f>
        <v>Західна Сахара</v>
      </c>
      <c r="AD68" s="14" t="str">
        <f ca="1">IFERROR(__xludf.DUMMYFUNCTION("""COMPUTED_VALUE"""),"Tây Sahara")</f>
        <v>Tây Sahara</v>
      </c>
      <c r="AE68" s="14" t="str">
        <f ca="1">IFERROR(__xludf.DUMMYFUNCTION("""COMPUTED_VALUE"""),"Батыс Сахара")</f>
        <v>Батыс Сахара</v>
      </c>
      <c r="AF68" s="14"/>
    </row>
    <row r="69" spans="1:32" ht="13" x14ac:dyDescent="0.15">
      <c r="A69" s="14" t="str">
        <f ca="1">IFERROR(__xludf.DUMMYFUNCTION("""COMPUTED_VALUE"""),"ER")</f>
        <v>ER</v>
      </c>
      <c r="B69" s="14" t="str">
        <f ca="1">IFERROR(__xludf.DUMMYFUNCTION("""COMPUTED_VALUE"""),"Eritrea")</f>
        <v>Eritrea</v>
      </c>
      <c r="C69" s="14" t="str">
        <f ca="1">IFERROR(__xludf.DUMMYFUNCTION("""COMPUTED_VALUE"""),"اريتريا")</f>
        <v>اريتريا</v>
      </c>
      <c r="D69" s="14" t="str">
        <f ca="1">IFERROR(__xludf.DUMMYFUNCTION("""COMPUTED_VALUE"""),"Еритрея")</f>
        <v>Еритрея</v>
      </c>
      <c r="E69" s="14" t="str">
        <f ca="1">IFERROR(__xludf.DUMMYFUNCTION("""COMPUTED_VALUE"""),"Eritreia")</f>
        <v>Eritreia</v>
      </c>
      <c r="F69" s="14" t="str">
        <f ca="1">IFERROR(__xludf.DUMMYFUNCTION("""COMPUTED_VALUE"""),"Эрытрэя")</f>
        <v>Эрытрэя</v>
      </c>
      <c r="G69" s="14" t="str">
        <f ca="1">IFERROR(__xludf.DUMMYFUNCTION("""COMPUTED_VALUE"""),"Eritrea")</f>
        <v>Eritrea</v>
      </c>
      <c r="H69" s="14" t="str">
        <f ca="1">IFERROR(__xludf.DUMMYFUNCTION("""COMPUTED_VALUE"""),"Eritrea")</f>
        <v>Eritrea</v>
      </c>
      <c r="I69" s="14" t="str">
        <f ca="1">IFERROR(__xludf.DUMMYFUNCTION("""COMPUTED_VALUE"""),"Eritrea")</f>
        <v>Eritrea</v>
      </c>
      <c r="J69" s="14" t="str">
        <f ca="1">IFERROR(__xludf.DUMMYFUNCTION("""COMPUTED_VALUE"""),"Eritrea")</f>
        <v>Eritrea</v>
      </c>
      <c r="K69" s="14" t="str">
        <f ca="1">IFERROR(__xludf.DUMMYFUNCTION("""COMPUTED_VALUE"""),"Ερυθραία")</f>
        <v>Ερυθραία</v>
      </c>
      <c r="L69" s="14" t="str">
        <f ca="1">IFERROR(__xludf.DUMMYFUNCTION("""COMPUTED_VALUE"""),"ΕΡΥΘΡΑΙΑ")</f>
        <v>ΕΡΥΘΡΑΙΑ</v>
      </c>
      <c r="M69" s="14" t="str">
        <f ca="1">IFERROR(__xludf.DUMMYFUNCTION("""COMPUTED_VALUE"""),"Eritreja")</f>
        <v>Eritreja</v>
      </c>
      <c r="N69" s="14" t="str">
        <f ca="1">IFERROR(__xludf.DUMMYFUNCTION("""COMPUTED_VALUE"""),"Eritrea")</f>
        <v>Eritrea</v>
      </c>
      <c r="O69" s="14" t="str">
        <f ca="1">IFERROR(__xludf.DUMMYFUNCTION("""COMPUTED_VALUE"""),"Eritrea")</f>
        <v>Eritrea</v>
      </c>
      <c r="P69" s="14" t="str">
        <f ca="1">IFERROR(__xludf.DUMMYFUNCTION("""COMPUTED_VALUE"""),"Eritrea")</f>
        <v>Eritrea</v>
      </c>
      <c r="Q69" s="14" t="str">
        <f ca="1">IFERROR(__xludf.DUMMYFUNCTION("""COMPUTED_VALUE"""),"에리트레아")</f>
        <v>에리트레아</v>
      </c>
      <c r="R69" s="14" t="str">
        <f ca="1">IFERROR(__xludf.DUMMYFUNCTION("""COMPUTED_VALUE"""),"Erytrea")</f>
        <v>Erytrea</v>
      </c>
      <c r="S69" s="14" t="str">
        <f ca="1">IFERROR(__xludf.DUMMYFUNCTION("""COMPUTED_VALUE"""),"Eritreia")</f>
        <v>Eritreia</v>
      </c>
      <c r="T69" s="14" t="str">
        <f ca="1">IFERROR(__xludf.DUMMYFUNCTION("""COMPUTED_VALUE"""),"Eritreea")</f>
        <v>Eritreea</v>
      </c>
      <c r="U69" s="14" t="str">
        <f ca="1">IFERROR(__xludf.DUMMYFUNCTION("""COMPUTED_VALUE"""),"Eritreja")</f>
        <v>Eritreja</v>
      </c>
      <c r="V69" s="14" t="str">
        <f ca="1">IFERROR(__xludf.DUMMYFUNCTION("""COMPUTED_VALUE"""),"Эритрея")</f>
        <v>Эритрея</v>
      </c>
      <c r="W69" s="14" t="str">
        <f ca="1">IFERROR(__xludf.DUMMYFUNCTION("""COMPUTED_VALUE"""),"Eritrea")</f>
        <v>Eritrea</v>
      </c>
      <c r="X69" s="14" t="str">
        <f ca="1">IFERROR(__xludf.DUMMYFUNCTION("""COMPUTED_VALUE"""),"Eritreja")</f>
        <v>Eritreja</v>
      </c>
      <c r="Y69" s="14" t="str">
        <f ca="1">IFERROR(__xludf.DUMMYFUNCTION("""COMPUTED_VALUE"""),"Eritrea")</f>
        <v>Eritrea</v>
      </c>
      <c r="Z69" s="14" t="str">
        <f ca="1">IFERROR(__xludf.DUMMYFUNCTION("""COMPUTED_VALUE"""),"เอริเทรีย")</f>
        <v>เอริเทรีย</v>
      </c>
      <c r="AA69" s="14" t="str">
        <f ca="1">IFERROR(__xludf.DUMMYFUNCTION("""COMPUTED_VALUE"""),"Eritre")</f>
        <v>Eritre</v>
      </c>
      <c r="AB69" s="14" t="str">
        <f ca="1">IFERROR(__xludf.DUMMYFUNCTION("""COMPUTED_VALUE"""),"ERİTRE")</f>
        <v>ERİTRE</v>
      </c>
      <c r="AC69" s="14" t="str">
        <f ca="1">IFERROR(__xludf.DUMMYFUNCTION("""COMPUTED_VALUE"""),"Еритрея")</f>
        <v>Еритрея</v>
      </c>
      <c r="AD69" s="14" t="str">
        <f ca="1">IFERROR(__xludf.DUMMYFUNCTION("""COMPUTED_VALUE"""),"Eritrea")</f>
        <v>Eritrea</v>
      </c>
      <c r="AE69" s="14" t="str">
        <f ca="1">IFERROR(__xludf.DUMMYFUNCTION("""COMPUTED_VALUE"""),"Эритрея")</f>
        <v>Эритрея</v>
      </c>
      <c r="AF69" s="14"/>
    </row>
    <row r="70" spans="1:32" ht="13" x14ac:dyDescent="0.15">
      <c r="A70" s="14" t="str">
        <f ca="1">IFERROR(__xludf.DUMMYFUNCTION("""COMPUTED_VALUE"""),"ES")</f>
        <v>ES</v>
      </c>
      <c r="B70" s="14" t="str">
        <f ca="1">IFERROR(__xludf.DUMMYFUNCTION("""COMPUTED_VALUE"""),"Spain")</f>
        <v>Spain</v>
      </c>
      <c r="C70" s="14" t="str">
        <f ca="1">IFERROR(__xludf.DUMMYFUNCTION("""COMPUTED_VALUE"""),"أسبانيا")</f>
        <v>أسبانيا</v>
      </c>
      <c r="D70" s="14" t="str">
        <f ca="1">IFERROR(__xludf.DUMMYFUNCTION("""COMPUTED_VALUE"""),"Испания")</f>
        <v>Испания</v>
      </c>
      <c r="E70" s="14" t="str">
        <f ca="1">IFERROR(__xludf.DUMMYFUNCTION("""COMPUTED_VALUE"""),"Espanha")</f>
        <v>Espanha</v>
      </c>
      <c r="F70" s="14" t="str">
        <f ca="1">IFERROR(__xludf.DUMMYFUNCTION("""COMPUTED_VALUE"""),"Іспанія")</f>
        <v>Іспанія</v>
      </c>
      <c r="G70" s="14" t="str">
        <f ca="1">IFERROR(__xludf.DUMMYFUNCTION("""COMPUTED_VALUE"""),"Španělsko")</f>
        <v>Španělsko</v>
      </c>
      <c r="H70" s="14" t="str">
        <f ca="1">IFERROR(__xludf.DUMMYFUNCTION("""COMPUTED_VALUE"""),"Spanien")</f>
        <v>Spanien</v>
      </c>
      <c r="I70" s="14" t="str">
        <f ca="1">IFERROR(__xludf.DUMMYFUNCTION("""COMPUTED_VALUE"""),"España")</f>
        <v>España</v>
      </c>
      <c r="J70" s="14" t="str">
        <f ca="1">IFERROR(__xludf.DUMMYFUNCTION("""COMPUTED_VALUE"""),"Espanja")</f>
        <v>Espanja</v>
      </c>
      <c r="K70" s="14" t="str">
        <f ca="1">IFERROR(__xludf.DUMMYFUNCTION("""COMPUTED_VALUE"""),"Ισπανία")</f>
        <v>Ισπανία</v>
      </c>
      <c r="L70" s="14" t="str">
        <f ca="1">IFERROR(__xludf.DUMMYFUNCTION("""COMPUTED_VALUE"""),"ΙΣΠΑΝΙΑ")</f>
        <v>ΙΣΠΑΝΙΑ</v>
      </c>
      <c r="M70" s="14" t="str">
        <f ca="1">IFERROR(__xludf.DUMMYFUNCTION("""COMPUTED_VALUE"""),"Španjolska")</f>
        <v>Španjolska</v>
      </c>
      <c r="N70" s="14" t="str">
        <f ca="1">IFERROR(__xludf.DUMMYFUNCTION("""COMPUTED_VALUE"""),"Spanyolország")</f>
        <v>Spanyolország</v>
      </c>
      <c r="O70" s="14" t="str">
        <f ca="1">IFERROR(__xludf.DUMMYFUNCTION("""COMPUTED_VALUE"""),"Spanyol")</f>
        <v>Spanyol</v>
      </c>
      <c r="P70" s="14" t="str">
        <f ca="1">IFERROR(__xludf.DUMMYFUNCTION("""COMPUTED_VALUE"""),"Spagna")</f>
        <v>Spagna</v>
      </c>
      <c r="Q70" s="14" t="str">
        <f ca="1">IFERROR(__xludf.DUMMYFUNCTION("""COMPUTED_VALUE"""),"스페인")</f>
        <v>스페인</v>
      </c>
      <c r="R70" s="14" t="str">
        <f ca="1">IFERROR(__xludf.DUMMYFUNCTION("""COMPUTED_VALUE"""),"Hiszpania")</f>
        <v>Hiszpania</v>
      </c>
      <c r="S70" s="14" t="str">
        <f ca="1">IFERROR(__xludf.DUMMYFUNCTION("""COMPUTED_VALUE"""),"Espanha")</f>
        <v>Espanha</v>
      </c>
      <c r="T70" s="14" t="str">
        <f ca="1">IFERROR(__xludf.DUMMYFUNCTION("""COMPUTED_VALUE"""),"Spania")</f>
        <v>Spania</v>
      </c>
      <c r="U70" s="14" t="str">
        <f ca="1">IFERROR(__xludf.DUMMYFUNCTION("""COMPUTED_VALUE"""),"Španija")</f>
        <v>Španija</v>
      </c>
      <c r="V70" s="14" t="str">
        <f ca="1">IFERROR(__xludf.DUMMYFUNCTION("""COMPUTED_VALUE"""),"Испания")</f>
        <v>Испания</v>
      </c>
      <c r="W70" s="14" t="str">
        <f ca="1">IFERROR(__xludf.DUMMYFUNCTION("""COMPUTED_VALUE"""),"Spanien")</f>
        <v>Spanien</v>
      </c>
      <c r="X70" s="14" t="str">
        <f ca="1">IFERROR(__xludf.DUMMYFUNCTION("""COMPUTED_VALUE"""),"Španija")</f>
        <v>Španija</v>
      </c>
      <c r="Y70" s="14" t="str">
        <f ca="1">IFERROR(__xludf.DUMMYFUNCTION("""COMPUTED_VALUE"""),"Španielsko")</f>
        <v>Španielsko</v>
      </c>
      <c r="Z70" s="14" t="str">
        <f ca="1">IFERROR(__xludf.DUMMYFUNCTION("""COMPUTED_VALUE"""),"สเปน")</f>
        <v>สเปน</v>
      </c>
      <c r="AA70" s="14" t="str">
        <f ca="1">IFERROR(__xludf.DUMMYFUNCTION("""COMPUTED_VALUE"""),"İspanya")</f>
        <v>İspanya</v>
      </c>
      <c r="AB70" s="14" t="str">
        <f ca="1">IFERROR(__xludf.DUMMYFUNCTION("""COMPUTED_VALUE"""),"İSPANYA")</f>
        <v>İSPANYA</v>
      </c>
      <c r="AC70" s="14" t="str">
        <f ca="1">IFERROR(__xludf.DUMMYFUNCTION("""COMPUTED_VALUE"""),"Іспанія")</f>
        <v>Іспанія</v>
      </c>
      <c r="AD70" s="14" t="str">
        <f ca="1">IFERROR(__xludf.DUMMYFUNCTION("""COMPUTED_VALUE"""),"Tây Ban Nha")</f>
        <v>Tây Ban Nha</v>
      </c>
      <c r="AE70" s="14" t="str">
        <f ca="1">IFERROR(__xludf.DUMMYFUNCTION("""COMPUTED_VALUE"""),"Испания")</f>
        <v>Испания</v>
      </c>
      <c r="AF70" s="14"/>
    </row>
    <row r="71" spans="1:32" ht="13" x14ac:dyDescent="0.15">
      <c r="A71" s="14" t="str">
        <f ca="1">IFERROR(__xludf.DUMMYFUNCTION("""COMPUTED_VALUE"""),"ET")</f>
        <v>ET</v>
      </c>
      <c r="B71" s="14" t="str">
        <f ca="1">IFERROR(__xludf.DUMMYFUNCTION("""COMPUTED_VALUE"""),"Ethiopia")</f>
        <v>Ethiopia</v>
      </c>
      <c r="C71" s="14" t="str">
        <f ca="1">IFERROR(__xludf.DUMMYFUNCTION("""COMPUTED_VALUE"""),"اثيوبيا")</f>
        <v>اثيوبيا</v>
      </c>
      <c r="D71" s="14" t="str">
        <f ca="1">IFERROR(__xludf.DUMMYFUNCTION("""COMPUTED_VALUE"""),"Етиопия")</f>
        <v>Етиопия</v>
      </c>
      <c r="E71" s="14" t="str">
        <f ca="1">IFERROR(__xludf.DUMMYFUNCTION("""COMPUTED_VALUE"""),"Etiópia")</f>
        <v>Etiópia</v>
      </c>
      <c r="F71" s="14" t="str">
        <f ca="1">IFERROR(__xludf.DUMMYFUNCTION("""COMPUTED_VALUE"""),"Эфіопія")</f>
        <v>Эфіопія</v>
      </c>
      <c r="G71" s="14" t="str">
        <f ca="1">IFERROR(__xludf.DUMMYFUNCTION("""COMPUTED_VALUE"""),"Etiopie")</f>
        <v>Etiopie</v>
      </c>
      <c r="H71" s="14" t="str">
        <f ca="1">IFERROR(__xludf.DUMMYFUNCTION("""COMPUTED_VALUE"""),"Äthiopien")</f>
        <v>Äthiopien</v>
      </c>
      <c r="I71" s="14" t="str">
        <f ca="1">IFERROR(__xludf.DUMMYFUNCTION("""COMPUTED_VALUE"""),"Etiopía")</f>
        <v>Etiopía</v>
      </c>
      <c r="J71" s="14" t="str">
        <f ca="1">IFERROR(__xludf.DUMMYFUNCTION("""COMPUTED_VALUE"""),"Etiopia")</f>
        <v>Etiopia</v>
      </c>
      <c r="K71" s="14" t="str">
        <f ca="1">IFERROR(__xludf.DUMMYFUNCTION("""COMPUTED_VALUE"""),"Αιθιοπία")</f>
        <v>Αιθιοπία</v>
      </c>
      <c r="L71" s="14" t="str">
        <f ca="1">IFERROR(__xludf.DUMMYFUNCTION("""COMPUTED_VALUE"""),"ΑΙΘΙΟΠΙΑ")</f>
        <v>ΑΙΘΙΟΠΙΑ</v>
      </c>
      <c r="M71" s="14" t="str">
        <f ca="1">IFERROR(__xludf.DUMMYFUNCTION("""COMPUTED_VALUE"""),"Etiopija")</f>
        <v>Etiopija</v>
      </c>
      <c r="N71" s="14" t="str">
        <f ca="1">IFERROR(__xludf.DUMMYFUNCTION("""COMPUTED_VALUE"""),"Etiópia")</f>
        <v>Etiópia</v>
      </c>
      <c r="O71" s="14" t="str">
        <f ca="1">IFERROR(__xludf.DUMMYFUNCTION("""COMPUTED_VALUE"""),"Ethiopia")</f>
        <v>Ethiopia</v>
      </c>
      <c r="P71" s="14" t="str">
        <f ca="1">IFERROR(__xludf.DUMMYFUNCTION("""COMPUTED_VALUE"""),"Etiopia")</f>
        <v>Etiopia</v>
      </c>
      <c r="Q71" s="14" t="str">
        <f ca="1">IFERROR(__xludf.DUMMYFUNCTION("""COMPUTED_VALUE"""),"에티오피아")</f>
        <v>에티오피아</v>
      </c>
      <c r="R71" s="14" t="str">
        <f ca="1">IFERROR(__xludf.DUMMYFUNCTION("""COMPUTED_VALUE"""),"Etiopia")</f>
        <v>Etiopia</v>
      </c>
      <c r="S71" s="14" t="str">
        <f ca="1">IFERROR(__xludf.DUMMYFUNCTION("""COMPUTED_VALUE"""),"Etiópia")</f>
        <v>Etiópia</v>
      </c>
      <c r="T71" s="14" t="str">
        <f ca="1">IFERROR(__xludf.DUMMYFUNCTION("""COMPUTED_VALUE"""),"Etiopia")</f>
        <v>Etiopia</v>
      </c>
      <c r="U71" s="14" t="str">
        <f ca="1">IFERROR(__xludf.DUMMYFUNCTION("""COMPUTED_VALUE"""),"Etiopija")</f>
        <v>Etiopija</v>
      </c>
      <c r="V71" s="14" t="str">
        <f ca="1">IFERROR(__xludf.DUMMYFUNCTION("""COMPUTED_VALUE"""),"Эфиопия")</f>
        <v>Эфиопия</v>
      </c>
      <c r="W71" s="14" t="str">
        <f ca="1">IFERROR(__xludf.DUMMYFUNCTION("""COMPUTED_VALUE"""),"Etiopien")</f>
        <v>Etiopien</v>
      </c>
      <c r="X71" s="14" t="str">
        <f ca="1">IFERROR(__xludf.DUMMYFUNCTION("""COMPUTED_VALUE"""),"Etiopija")</f>
        <v>Etiopija</v>
      </c>
      <c r="Y71" s="14" t="str">
        <f ca="1">IFERROR(__xludf.DUMMYFUNCTION("""COMPUTED_VALUE"""),"Etiópia")</f>
        <v>Etiópia</v>
      </c>
      <c r="Z71" s="14" t="str">
        <f ca="1">IFERROR(__xludf.DUMMYFUNCTION("""COMPUTED_VALUE"""),"เอธิโอเปีย")</f>
        <v>เอธิโอเปีย</v>
      </c>
      <c r="AA71" s="14" t="str">
        <f ca="1">IFERROR(__xludf.DUMMYFUNCTION("""COMPUTED_VALUE"""),"Etiyopya")</f>
        <v>Etiyopya</v>
      </c>
      <c r="AB71" s="14" t="str">
        <f ca="1">IFERROR(__xludf.DUMMYFUNCTION("""COMPUTED_VALUE"""),"ETİYOPYA")</f>
        <v>ETİYOPYA</v>
      </c>
      <c r="AC71" s="14" t="str">
        <f ca="1">IFERROR(__xludf.DUMMYFUNCTION("""COMPUTED_VALUE"""),"Ефіопія")</f>
        <v>Ефіопія</v>
      </c>
      <c r="AD71" s="14" t="str">
        <f ca="1">IFERROR(__xludf.DUMMYFUNCTION("""COMPUTED_VALUE"""),"Ethiopia")</f>
        <v>Ethiopia</v>
      </c>
      <c r="AE71" s="14" t="str">
        <f ca="1">IFERROR(__xludf.DUMMYFUNCTION("""COMPUTED_VALUE"""),"Эфиопия")</f>
        <v>Эфиопия</v>
      </c>
      <c r="AF71" s="14"/>
    </row>
    <row r="72" spans="1:32" ht="13" x14ac:dyDescent="0.15">
      <c r="A72" s="14" t="str">
        <f ca="1">IFERROR(__xludf.DUMMYFUNCTION("""COMPUTED_VALUE"""),"FI")</f>
        <v>FI</v>
      </c>
      <c r="B72" s="14" t="str">
        <f ca="1">IFERROR(__xludf.DUMMYFUNCTION("""COMPUTED_VALUE"""),"Finland")</f>
        <v>Finland</v>
      </c>
      <c r="C72" s="14" t="str">
        <f ca="1">IFERROR(__xludf.DUMMYFUNCTION("""COMPUTED_VALUE"""),"فنلندا")</f>
        <v>فنلندا</v>
      </c>
      <c r="D72" s="14" t="str">
        <f ca="1">IFERROR(__xludf.DUMMYFUNCTION("""COMPUTED_VALUE"""),"Финландия")</f>
        <v>Финландия</v>
      </c>
      <c r="E72" s="14" t="str">
        <f ca="1">IFERROR(__xludf.DUMMYFUNCTION("""COMPUTED_VALUE"""),"Finlândia")</f>
        <v>Finlândia</v>
      </c>
      <c r="F72" s="14" t="str">
        <f ca="1">IFERROR(__xludf.DUMMYFUNCTION("""COMPUTED_VALUE"""),"Фінляндыя")</f>
        <v>Фінляндыя</v>
      </c>
      <c r="G72" s="14" t="str">
        <f ca="1">IFERROR(__xludf.DUMMYFUNCTION("""COMPUTED_VALUE"""),"Finsko")</f>
        <v>Finsko</v>
      </c>
      <c r="H72" s="14" t="str">
        <f ca="1">IFERROR(__xludf.DUMMYFUNCTION("""COMPUTED_VALUE"""),"Finnland")</f>
        <v>Finnland</v>
      </c>
      <c r="I72" s="14" t="str">
        <f ca="1">IFERROR(__xludf.DUMMYFUNCTION("""COMPUTED_VALUE"""),"Finlandia")</f>
        <v>Finlandia</v>
      </c>
      <c r="J72" s="14" t="str">
        <f ca="1">IFERROR(__xludf.DUMMYFUNCTION("""COMPUTED_VALUE"""),"Suomi")</f>
        <v>Suomi</v>
      </c>
      <c r="K72" s="14" t="str">
        <f ca="1">IFERROR(__xludf.DUMMYFUNCTION("""COMPUTED_VALUE"""),"Φινλανδία")</f>
        <v>Φινλανδία</v>
      </c>
      <c r="L72" s="14" t="str">
        <f ca="1">IFERROR(__xludf.DUMMYFUNCTION("""COMPUTED_VALUE"""),"ΦΙΝΛΑΝΔΙΑ")</f>
        <v>ΦΙΝΛΑΝΔΙΑ</v>
      </c>
      <c r="M72" s="14" t="str">
        <f ca="1">IFERROR(__xludf.DUMMYFUNCTION("""COMPUTED_VALUE"""),"Finska")</f>
        <v>Finska</v>
      </c>
      <c r="N72" s="14" t="str">
        <f ca="1">IFERROR(__xludf.DUMMYFUNCTION("""COMPUTED_VALUE"""),"Finnország")</f>
        <v>Finnország</v>
      </c>
      <c r="O72" s="14" t="str">
        <f ca="1">IFERROR(__xludf.DUMMYFUNCTION("""COMPUTED_VALUE"""),"Finlandia")</f>
        <v>Finlandia</v>
      </c>
      <c r="P72" s="14" t="str">
        <f ca="1">IFERROR(__xludf.DUMMYFUNCTION("""COMPUTED_VALUE"""),"Finlandia")</f>
        <v>Finlandia</v>
      </c>
      <c r="Q72" s="14" t="str">
        <f ca="1">IFERROR(__xludf.DUMMYFUNCTION("""COMPUTED_VALUE"""),"핀란드")</f>
        <v>핀란드</v>
      </c>
      <c r="R72" s="14" t="str">
        <f ca="1">IFERROR(__xludf.DUMMYFUNCTION("""COMPUTED_VALUE"""),"Finlandia")</f>
        <v>Finlandia</v>
      </c>
      <c r="S72" s="14" t="str">
        <f ca="1">IFERROR(__xludf.DUMMYFUNCTION("""COMPUTED_VALUE"""),"Finlândia")</f>
        <v>Finlândia</v>
      </c>
      <c r="T72" s="14" t="str">
        <f ca="1">IFERROR(__xludf.DUMMYFUNCTION("""COMPUTED_VALUE"""),"Finlanda")</f>
        <v>Finlanda</v>
      </c>
      <c r="U72" s="14" t="str">
        <f ca="1">IFERROR(__xludf.DUMMYFUNCTION("""COMPUTED_VALUE"""),"Finska")</f>
        <v>Finska</v>
      </c>
      <c r="V72" s="14" t="str">
        <f ca="1">IFERROR(__xludf.DUMMYFUNCTION("""COMPUTED_VALUE"""),"Финляндия")</f>
        <v>Финляндия</v>
      </c>
      <c r="W72" s="14" t="str">
        <f ca="1">IFERROR(__xludf.DUMMYFUNCTION("""COMPUTED_VALUE"""),"Finland")</f>
        <v>Finland</v>
      </c>
      <c r="X72" s="14" t="str">
        <f ca="1">IFERROR(__xludf.DUMMYFUNCTION("""COMPUTED_VALUE"""),"Finska")</f>
        <v>Finska</v>
      </c>
      <c r="Y72" s="14" t="str">
        <f ca="1">IFERROR(__xludf.DUMMYFUNCTION("""COMPUTED_VALUE"""),"Fínsko")</f>
        <v>Fínsko</v>
      </c>
      <c r="Z72" s="14" t="str">
        <f ca="1">IFERROR(__xludf.DUMMYFUNCTION("""COMPUTED_VALUE"""),"ฟินแลนด์")</f>
        <v>ฟินแลนด์</v>
      </c>
      <c r="AA72" s="14" t="str">
        <f ca="1">IFERROR(__xludf.DUMMYFUNCTION("""COMPUTED_VALUE"""),"Finlandiya")</f>
        <v>Finlandiya</v>
      </c>
      <c r="AB72" s="14" t="str">
        <f ca="1">IFERROR(__xludf.DUMMYFUNCTION("""COMPUTED_VALUE"""),"FİNLANDİYA")</f>
        <v>FİNLANDİYA</v>
      </c>
      <c r="AC72" s="14" t="str">
        <f ca="1">IFERROR(__xludf.DUMMYFUNCTION("""COMPUTED_VALUE"""),"Фінляндія")</f>
        <v>Фінляндія</v>
      </c>
      <c r="AD72" s="14" t="str">
        <f ca="1">IFERROR(__xludf.DUMMYFUNCTION("""COMPUTED_VALUE"""),"Phần Lan")</f>
        <v>Phần Lan</v>
      </c>
      <c r="AE72" s="14" t="str">
        <f ca="1">IFERROR(__xludf.DUMMYFUNCTION("""COMPUTED_VALUE"""),"Финляндия")</f>
        <v>Финляндия</v>
      </c>
      <c r="AF72" s="14"/>
    </row>
    <row r="73" spans="1:32" ht="13" x14ac:dyDescent="0.15">
      <c r="A73" s="14" t="str">
        <f ca="1">IFERROR(__xludf.DUMMYFUNCTION("""COMPUTED_VALUE"""),"FJ")</f>
        <v>FJ</v>
      </c>
      <c r="B73" s="14" t="str">
        <f ca="1">IFERROR(__xludf.DUMMYFUNCTION("""COMPUTED_VALUE"""),"Fiji")</f>
        <v>Fiji</v>
      </c>
      <c r="C73" s="14" t="str">
        <f ca="1">IFERROR(__xludf.DUMMYFUNCTION("""COMPUTED_VALUE"""),"فيجي")</f>
        <v>فيجي</v>
      </c>
      <c r="D73" s="14" t="str">
        <f ca="1">IFERROR(__xludf.DUMMYFUNCTION("""COMPUTED_VALUE"""),"Фиджи")</f>
        <v>Фиджи</v>
      </c>
      <c r="E73" s="14" t="str">
        <f ca="1">IFERROR(__xludf.DUMMYFUNCTION("""COMPUTED_VALUE"""),"Fiji")</f>
        <v>Fiji</v>
      </c>
      <c r="F73" s="14" t="str">
        <f ca="1">IFERROR(__xludf.DUMMYFUNCTION("""COMPUTED_VALUE"""),"Фіджы")</f>
        <v>Фіджы</v>
      </c>
      <c r="G73" s="14" t="str">
        <f ca="1">IFERROR(__xludf.DUMMYFUNCTION("""COMPUTED_VALUE"""),"Fidži")</f>
        <v>Fidži</v>
      </c>
      <c r="H73" s="14" t="str">
        <f ca="1">IFERROR(__xludf.DUMMYFUNCTION("""COMPUTED_VALUE"""),"Fidschi")</f>
        <v>Fidschi</v>
      </c>
      <c r="I73" s="14" t="str">
        <f ca="1">IFERROR(__xludf.DUMMYFUNCTION("""COMPUTED_VALUE"""),"Fiji")</f>
        <v>Fiji</v>
      </c>
      <c r="J73" s="14" t="str">
        <f ca="1">IFERROR(__xludf.DUMMYFUNCTION("""COMPUTED_VALUE"""),"Fidži")</f>
        <v>Fidži</v>
      </c>
      <c r="K73" s="14" t="str">
        <f ca="1">IFERROR(__xludf.DUMMYFUNCTION("""COMPUTED_VALUE"""),"Φίτζι")</f>
        <v>Φίτζι</v>
      </c>
      <c r="L73" s="14" t="str">
        <f ca="1">IFERROR(__xludf.DUMMYFUNCTION("""COMPUTED_VALUE"""),"ΦΙΤΖΙ")</f>
        <v>ΦΙΤΖΙ</v>
      </c>
      <c r="M73" s="14" t="str">
        <f ca="1">IFERROR(__xludf.DUMMYFUNCTION("""COMPUTED_VALUE"""),"Fidži")</f>
        <v>Fidži</v>
      </c>
      <c r="N73" s="14" t="str">
        <f ca="1">IFERROR(__xludf.DUMMYFUNCTION("""COMPUTED_VALUE"""),"Fidzsi")</f>
        <v>Fidzsi</v>
      </c>
      <c r="O73" s="14" t="str">
        <f ca="1">IFERROR(__xludf.DUMMYFUNCTION("""COMPUTED_VALUE"""),"Fiji")</f>
        <v>Fiji</v>
      </c>
      <c r="P73" s="14" t="str">
        <f ca="1">IFERROR(__xludf.DUMMYFUNCTION("""COMPUTED_VALUE"""),"Figi")</f>
        <v>Figi</v>
      </c>
      <c r="Q73" s="14" t="str">
        <f ca="1">IFERROR(__xludf.DUMMYFUNCTION("""COMPUTED_VALUE"""),"피지")</f>
        <v>피지</v>
      </c>
      <c r="R73" s="14" t="str">
        <f ca="1">IFERROR(__xludf.DUMMYFUNCTION("""COMPUTED_VALUE"""),"Fidżi")</f>
        <v>Fidżi</v>
      </c>
      <c r="S73" s="14" t="str">
        <f ca="1">IFERROR(__xludf.DUMMYFUNCTION("""COMPUTED_VALUE"""),"Fiji")</f>
        <v>Fiji</v>
      </c>
      <c r="T73" s="14" t="str">
        <f ca="1">IFERROR(__xludf.DUMMYFUNCTION("""COMPUTED_VALUE"""),"Fiji")</f>
        <v>Fiji</v>
      </c>
      <c r="U73" s="14" t="str">
        <f ca="1">IFERROR(__xludf.DUMMYFUNCTION("""COMPUTED_VALUE"""),"Fidži")</f>
        <v>Fidži</v>
      </c>
      <c r="V73" s="14" t="str">
        <f ca="1">IFERROR(__xludf.DUMMYFUNCTION("""COMPUTED_VALUE"""),"Фиджи")</f>
        <v>Фиджи</v>
      </c>
      <c r="W73" s="14" t="str">
        <f ca="1">IFERROR(__xludf.DUMMYFUNCTION("""COMPUTED_VALUE"""),"Fiji")</f>
        <v>Fiji</v>
      </c>
      <c r="X73" s="14" t="str">
        <f ca="1">IFERROR(__xludf.DUMMYFUNCTION("""COMPUTED_VALUE"""),"Fidži")</f>
        <v>Fidži</v>
      </c>
      <c r="Y73" s="14" t="str">
        <f ca="1">IFERROR(__xludf.DUMMYFUNCTION("""COMPUTED_VALUE"""),"Fidži")</f>
        <v>Fidži</v>
      </c>
      <c r="Z73" s="14" t="str">
        <f ca="1">IFERROR(__xludf.DUMMYFUNCTION("""COMPUTED_VALUE"""),"ฟีจี")</f>
        <v>ฟีจี</v>
      </c>
      <c r="AA73" s="14" t="str">
        <f ca="1">IFERROR(__xludf.DUMMYFUNCTION("""COMPUTED_VALUE"""),"Fiji")</f>
        <v>Fiji</v>
      </c>
      <c r="AB73" s="14" t="str">
        <f ca="1">IFERROR(__xludf.DUMMYFUNCTION("""COMPUTED_VALUE"""),"FİJİ")</f>
        <v>FİJİ</v>
      </c>
      <c r="AC73" s="14" t="str">
        <f ca="1">IFERROR(__xludf.DUMMYFUNCTION("""COMPUTED_VALUE"""),"Фіджі")</f>
        <v>Фіджі</v>
      </c>
      <c r="AD73" s="14" t="str">
        <f ca="1">IFERROR(__xludf.DUMMYFUNCTION("""COMPUTED_VALUE"""),"Fiji")</f>
        <v>Fiji</v>
      </c>
      <c r="AE73" s="14" t="str">
        <f ca="1">IFERROR(__xludf.DUMMYFUNCTION("""COMPUTED_VALUE"""),"Фиджи")</f>
        <v>Фиджи</v>
      </c>
      <c r="AF73" s="14"/>
    </row>
    <row r="74" spans="1:32" ht="13" x14ac:dyDescent="0.15">
      <c r="A74" s="14" t="str">
        <f ca="1">IFERROR(__xludf.DUMMYFUNCTION("""COMPUTED_VALUE"""),"FK")</f>
        <v>FK</v>
      </c>
      <c r="B74" s="14" t="str">
        <f ca="1">IFERROR(__xludf.DUMMYFUNCTION("""COMPUTED_VALUE"""),"Falkland Islands (Malvinas)")</f>
        <v>Falkland Islands (Malvinas)</v>
      </c>
      <c r="C74" s="14" t="str">
        <f ca="1">IFERROR(__xludf.DUMMYFUNCTION("""COMPUTED_VALUE"""),"جزر فوكلاند")</f>
        <v>جزر فوكلاند</v>
      </c>
      <c r="D74" s="14" t="str">
        <f ca="1">IFERROR(__xludf.DUMMYFUNCTION("""COMPUTED_VALUE"""),"Фолклендски острови")</f>
        <v>Фолклендски острови</v>
      </c>
      <c r="E74" s="14" t="str">
        <f ca="1">IFERROR(__xludf.DUMMYFUNCTION("""COMPUTED_VALUE"""),"Malvinas, Ilhas (Falkland)")</f>
        <v>Malvinas, Ilhas (Falkland)</v>
      </c>
      <c r="F74" s="14" t="str">
        <f ca="1">IFERROR(__xludf.DUMMYFUNCTION("""COMPUTED_VALUE"""),"Фалклендскія астравы")</f>
        <v>Фалклендскія астравы</v>
      </c>
      <c r="G74" s="14" t="str">
        <f ca="1">IFERROR(__xludf.DUMMYFUNCTION("""COMPUTED_VALUE"""),"Falklandy (Malvíny)")</f>
        <v>Falklandy (Malvíny)</v>
      </c>
      <c r="H74" s="14" t="str">
        <f ca="1">IFERROR(__xludf.DUMMYFUNCTION("""COMPUTED_VALUE"""),"Falklandinseln")</f>
        <v>Falklandinseln</v>
      </c>
      <c r="I74" s="14" t="str">
        <f ca="1">IFERROR(__xludf.DUMMYFUNCTION("""COMPUTED_VALUE"""),"Malvinas [Falkland], (las) Islas")</f>
        <v>Malvinas [Falkland], (las) Islas</v>
      </c>
      <c r="J74" s="14" t="str">
        <f ca="1">IFERROR(__xludf.DUMMYFUNCTION("""COMPUTED_VALUE"""),"Falklandinsaaret")</f>
        <v>Falklandinsaaret</v>
      </c>
      <c r="K74" s="14" t="str">
        <f ca="1">IFERROR(__xludf.DUMMYFUNCTION("""COMPUTED_VALUE"""),"Νήσοι Φώκλαντ")</f>
        <v>Νήσοι Φώκλαντ</v>
      </c>
      <c r="L74" s="14" t="str">
        <f ca="1">IFERROR(__xludf.DUMMYFUNCTION("""COMPUTED_VALUE"""),"ΝΗΣΟΙ ΦΩΚΛΑΝΤ")</f>
        <v>ΝΗΣΟΙ ΦΩΚΛΑΝΤ</v>
      </c>
      <c r="M74" s="14" t="str">
        <f ca="1">IFERROR(__xludf.DUMMYFUNCTION("""COMPUTED_VALUE"""),"Falklandi (Malvini)")</f>
        <v>Falklandi (Malvini)</v>
      </c>
      <c r="N74" s="14" t="str">
        <f ca="1">IFERROR(__xludf.DUMMYFUNCTION("""COMPUTED_VALUE"""),"Falkland-szigetek")</f>
        <v>Falkland-szigetek</v>
      </c>
      <c r="O74" s="14" t="str">
        <f ca="1">IFERROR(__xludf.DUMMYFUNCTION("""COMPUTED_VALUE"""),"Falkland, Kepulauan")</f>
        <v>Falkland, Kepulauan</v>
      </c>
      <c r="P74" s="14" t="str">
        <f ca="1">IFERROR(__xludf.DUMMYFUNCTION("""COMPUTED_VALUE"""),"Isole Falkland")</f>
        <v>Isole Falkland</v>
      </c>
      <c r="Q74" s="14" t="str">
        <f ca="1">IFERROR(__xludf.DUMMYFUNCTION("""COMPUTED_VALUE"""),"포클랜드 제도")</f>
        <v>포클랜드 제도</v>
      </c>
      <c r="R74" s="14" t="str">
        <f ca="1">IFERROR(__xludf.DUMMYFUNCTION("""COMPUTED_VALUE"""),"Falklandy")</f>
        <v>Falklandy</v>
      </c>
      <c r="S74" s="14" t="str">
        <f ca="1">IFERROR(__xludf.DUMMYFUNCTION("""COMPUTED_VALUE"""),"Malvinas, Ilhas (Falkland)")</f>
        <v>Malvinas, Ilhas (Falkland)</v>
      </c>
      <c r="T74" s="14" t="str">
        <f ca="1">IFERROR(__xludf.DUMMYFUNCTION("""COMPUTED_VALUE"""),"Insulele Falkland")</f>
        <v>Insulele Falkland</v>
      </c>
      <c r="U74" s="14" t="str">
        <f ca="1">IFERROR(__xludf.DUMMYFUNCTION("""COMPUTED_VALUE"""),"Folklandska Ostrva (Malvini)")</f>
        <v>Folklandska Ostrva (Malvini)</v>
      </c>
      <c r="V74" s="14" t="str">
        <f ca="1">IFERROR(__xludf.DUMMYFUNCTION("""COMPUTED_VALUE"""),"Фолклендские острова")</f>
        <v>Фолклендские острова</v>
      </c>
      <c r="W74" s="14" t="str">
        <f ca="1">IFERROR(__xludf.DUMMYFUNCTION("""COMPUTED_VALUE"""),"Falklandsöarna")</f>
        <v>Falklandsöarna</v>
      </c>
      <c r="X74" s="14" t="str">
        <f ca="1">IFERROR(__xludf.DUMMYFUNCTION("""COMPUTED_VALUE"""),"Falklandi")</f>
        <v>Falklandi</v>
      </c>
      <c r="Y74" s="14" t="str">
        <f ca="1">IFERROR(__xludf.DUMMYFUNCTION("""COMPUTED_VALUE"""),"Falklandy")</f>
        <v>Falklandy</v>
      </c>
      <c r="Z74" s="14" t="str">
        <f ca="1">IFERROR(__xludf.DUMMYFUNCTION("""COMPUTED_VALUE"""),"หมู่เกาะฟอล์กแลนด์")</f>
        <v>หมู่เกาะฟอล์กแลนด์</v>
      </c>
      <c r="AA74" s="14" t="str">
        <f ca="1">IFERROR(__xludf.DUMMYFUNCTION("""COMPUTED_VALUE"""),"Falkland Adaları (Malvinas)")</f>
        <v>Falkland Adaları (Malvinas)</v>
      </c>
      <c r="AB74" s="14" t="str">
        <f ca="1">IFERROR(__xludf.DUMMYFUNCTION("""COMPUTED_VALUE"""),"FALKLAND ADALARI (MALVINAS)")</f>
        <v>FALKLAND ADALARI (MALVINAS)</v>
      </c>
      <c r="AC74" s="14" t="str">
        <f ca="1">IFERROR(__xludf.DUMMYFUNCTION("""COMPUTED_VALUE"""),"Фолклендські Острови")</f>
        <v>Фолклендські Острови</v>
      </c>
      <c r="AD74" s="14" t="str">
        <f ca="1">IFERROR(__xludf.DUMMYFUNCTION("""COMPUTED_VALUE"""),"Đảo Falkland")</f>
        <v>Đảo Falkland</v>
      </c>
      <c r="AE74" s="14" t="str">
        <f ca="1">IFERROR(__xludf.DUMMYFUNCTION("""COMPUTED_VALUE"""),"Фолкленд аралдары")</f>
        <v>Фолкленд аралдары</v>
      </c>
      <c r="AF74" s="14"/>
    </row>
    <row r="75" spans="1:32" ht="13" x14ac:dyDescent="0.15">
      <c r="A75" s="14" t="str">
        <f ca="1">IFERROR(__xludf.DUMMYFUNCTION("""COMPUTED_VALUE"""),"FM")</f>
        <v>FM</v>
      </c>
      <c r="B75" s="14" t="str">
        <f ca="1">IFERROR(__xludf.DUMMYFUNCTION("""COMPUTED_VALUE"""),"Micronesia, Federated States of")</f>
        <v>Micronesia, Federated States of</v>
      </c>
      <c r="C75" s="14" t="str">
        <f ca="1">IFERROR(__xludf.DUMMYFUNCTION("""COMPUTED_VALUE"""),"ميكرونيزيا")</f>
        <v>ميكرونيزيا</v>
      </c>
      <c r="D75" s="14" t="str">
        <f ca="1">IFERROR(__xludf.DUMMYFUNCTION("""COMPUTED_VALUE"""),"Микронезия")</f>
        <v>Микронезия</v>
      </c>
      <c r="E75" s="14" t="str">
        <f ca="1">IFERROR(__xludf.DUMMYFUNCTION("""COMPUTED_VALUE"""),"Micronésia, Estados Federados da")</f>
        <v>Micronésia, Estados Federados da</v>
      </c>
      <c r="F75" s="14" t="str">
        <f ca="1">IFERROR(__xludf.DUMMYFUNCTION("""COMPUTED_VALUE"""),"Мікранезія")</f>
        <v>Мікранезія</v>
      </c>
      <c r="G75" s="14" t="str">
        <f ca="1">IFERROR(__xludf.DUMMYFUNCTION("""COMPUTED_VALUE"""),"Mikronésie")</f>
        <v>Mikronésie</v>
      </c>
      <c r="H75" s="14" t="str">
        <f ca="1">IFERROR(__xludf.DUMMYFUNCTION("""COMPUTED_VALUE"""),"Mikronesien")</f>
        <v>Mikronesien</v>
      </c>
      <c r="I75" s="14" t="str">
        <f ca="1">IFERROR(__xludf.DUMMYFUNCTION("""COMPUTED_VALUE"""),"Micronesia (Estados Federados de)")</f>
        <v>Micronesia (Estados Federados de)</v>
      </c>
      <c r="J75" s="14" t="str">
        <f ca="1">IFERROR(__xludf.DUMMYFUNCTION("""COMPUTED_VALUE"""),"Mikronesian liittovaltio")</f>
        <v>Mikronesian liittovaltio</v>
      </c>
      <c r="K75" s="14" t="str">
        <f ca="1">IFERROR(__xludf.DUMMYFUNCTION("""COMPUTED_VALUE"""),"Ομόσπονδες Πολιτείες της Μικρονησίας")</f>
        <v>Ομόσπονδες Πολιτείες της Μικρονησίας</v>
      </c>
      <c r="L75" s="14" t="str">
        <f ca="1">IFERROR(__xludf.DUMMYFUNCTION("""COMPUTED_VALUE"""),"ΟΜΟΣΠΟΝΔΕΣ ΠΟΛΙΤΕΙΕΣ ΤΗΣ ΜΙΚΡΟΝΗΣΙΑΣ")</f>
        <v>ΟΜΟΣΠΟΝΔΕΣ ΠΟΛΙΤΕΙΕΣ ΤΗΣ ΜΙΚΡΟΝΗΣΙΑΣ</v>
      </c>
      <c r="M75" s="14" t="str">
        <f ca="1">IFERROR(__xludf.DUMMYFUNCTION("""COMPUTED_VALUE"""),"Mikronezija")</f>
        <v>Mikronezija</v>
      </c>
      <c r="N75" s="14" t="str">
        <f ca="1">IFERROR(__xludf.DUMMYFUNCTION("""COMPUTED_VALUE"""),"Mikronézia")</f>
        <v>Mikronézia</v>
      </c>
      <c r="O75" s="14" t="str">
        <f ca="1">IFERROR(__xludf.DUMMYFUNCTION("""COMPUTED_VALUE"""),"Mikronesia, Federasi")</f>
        <v>Mikronesia, Federasi</v>
      </c>
      <c r="P75" s="14" t="str">
        <f ca="1">IFERROR(__xludf.DUMMYFUNCTION("""COMPUTED_VALUE"""),"Micronesia")</f>
        <v>Micronesia</v>
      </c>
      <c r="Q75" s="14" t="str">
        <f ca="1">IFERROR(__xludf.DUMMYFUNCTION("""COMPUTED_VALUE"""),"미크로네시아 연방")</f>
        <v>미크로네시아 연방</v>
      </c>
      <c r="R75" s="14" t="str">
        <f ca="1">IFERROR(__xludf.DUMMYFUNCTION("""COMPUTED_VALUE"""),"Mikronezja")</f>
        <v>Mikronezja</v>
      </c>
      <c r="S75" s="14" t="str">
        <f ca="1">IFERROR(__xludf.DUMMYFUNCTION("""COMPUTED_VALUE"""),"Micronésia, Estados Federados da")</f>
        <v>Micronésia, Estados Federados da</v>
      </c>
      <c r="T75" s="14" t="str">
        <f ca="1">IFERROR(__xludf.DUMMYFUNCTION("""COMPUTED_VALUE"""),"Micronezia")</f>
        <v>Micronezia</v>
      </c>
      <c r="U75" s="14" t="str">
        <f ca="1">IFERROR(__xludf.DUMMYFUNCTION("""COMPUTED_VALUE"""),"Mikronezija")</f>
        <v>Mikronezija</v>
      </c>
      <c r="V75" s="14" t="str">
        <f ca="1">IFERROR(__xludf.DUMMYFUNCTION("""COMPUTED_VALUE"""),"Микронезия")</f>
        <v>Микронезия</v>
      </c>
      <c r="W75" s="14" t="str">
        <f ca="1">IFERROR(__xludf.DUMMYFUNCTION("""COMPUTED_VALUE"""),"Mikronesiska federationen")</f>
        <v>Mikronesiska federationen</v>
      </c>
      <c r="X75" s="14" t="str">
        <f ca="1">IFERROR(__xludf.DUMMYFUNCTION("""COMPUTED_VALUE"""),"Mikronezija")</f>
        <v>Mikronezija</v>
      </c>
      <c r="Y75" s="14" t="str">
        <f ca="1">IFERROR(__xludf.DUMMYFUNCTION("""COMPUTED_VALUE"""),"Mikronézia")</f>
        <v>Mikronézia</v>
      </c>
      <c r="Z75" s="14" t="str">
        <f ca="1">IFERROR(__xludf.DUMMYFUNCTION("""COMPUTED_VALUE"""),"ไมโครนีเซีย")</f>
        <v>ไมโครนีเซีย</v>
      </c>
      <c r="AA75" s="14" t="str">
        <f ca="1">IFERROR(__xludf.DUMMYFUNCTION("""COMPUTED_VALUE"""),"Mikronezya")</f>
        <v>Mikronezya</v>
      </c>
      <c r="AB75" s="14" t="str">
        <f ca="1">IFERROR(__xludf.DUMMYFUNCTION("""COMPUTED_VALUE"""),"MİKRONEZYA")</f>
        <v>MİKRONEZYA</v>
      </c>
      <c r="AC75" s="14" t="str">
        <f ca="1">IFERROR(__xludf.DUMMYFUNCTION("""COMPUTED_VALUE"""),"Федеративні Штати Мікронезії")</f>
        <v>Федеративні Штати Мікронезії</v>
      </c>
      <c r="AD75" s="14" t="str">
        <f ca="1">IFERROR(__xludf.DUMMYFUNCTION("""COMPUTED_VALUE"""),"Micronesia")</f>
        <v>Micronesia</v>
      </c>
      <c r="AE75" s="14" t="str">
        <f ca="1">IFERROR(__xludf.DUMMYFUNCTION("""COMPUTED_VALUE"""),"Микронезия")</f>
        <v>Микронезия</v>
      </c>
      <c r="AF75" s="14"/>
    </row>
    <row r="76" spans="1:32" ht="13" x14ac:dyDescent="0.15">
      <c r="A76" s="14" t="str">
        <f ca="1">IFERROR(__xludf.DUMMYFUNCTION("""COMPUTED_VALUE"""),"FO")</f>
        <v>FO</v>
      </c>
      <c r="B76" s="14" t="str">
        <f ca="1">IFERROR(__xludf.DUMMYFUNCTION("""COMPUTED_VALUE"""),"Faroe Islands")</f>
        <v>Faroe Islands</v>
      </c>
      <c r="C76" s="14" t="str">
        <f ca="1">IFERROR(__xludf.DUMMYFUNCTION("""COMPUTED_VALUE"""),"جزر فارو")</f>
        <v>جزر فارو</v>
      </c>
      <c r="D76" s="14" t="str">
        <f ca="1">IFERROR(__xludf.DUMMYFUNCTION("""COMPUTED_VALUE"""),"Фарьорски острови")</f>
        <v>Фарьорски острови</v>
      </c>
      <c r="E76" s="14" t="str">
        <f ca="1">IFERROR(__xludf.DUMMYFUNCTION("""COMPUTED_VALUE"""),"Feroé, Ilhas")</f>
        <v>Feroé, Ilhas</v>
      </c>
      <c r="F76" s="14" t="str">
        <f ca="1">IFERROR(__xludf.DUMMYFUNCTION("""COMPUTED_VALUE"""),"Фарэрскія астравы")</f>
        <v>Фарэрскія астравы</v>
      </c>
      <c r="G76" s="14" t="str">
        <f ca="1">IFERROR(__xludf.DUMMYFUNCTION("""COMPUTED_VALUE"""),"Faerské ostrovy")</f>
        <v>Faerské ostrovy</v>
      </c>
      <c r="H76" s="14" t="str">
        <f ca="1">IFERROR(__xludf.DUMMYFUNCTION("""COMPUTED_VALUE"""),"Färöer")</f>
        <v>Färöer</v>
      </c>
      <c r="I76" s="14" t="str">
        <f ca="1">IFERROR(__xludf.DUMMYFUNCTION("""COMPUTED_VALUE"""),"Feroe, (las) Islas")</f>
        <v>Feroe, (las) Islas</v>
      </c>
      <c r="J76" s="14" t="str">
        <f ca="1">IFERROR(__xludf.DUMMYFUNCTION("""COMPUTED_VALUE"""),"Färsaaret")</f>
        <v>Färsaaret</v>
      </c>
      <c r="K76" s="14" t="str">
        <f ca="1">IFERROR(__xludf.DUMMYFUNCTION("""COMPUTED_VALUE"""),"Νήσοι Φερόες")</f>
        <v>Νήσοι Φερόες</v>
      </c>
      <c r="L76" s="14" t="str">
        <f ca="1">IFERROR(__xludf.DUMMYFUNCTION("""COMPUTED_VALUE"""),"ΝΗΣΟΙ ΦΕΡΟΕΣ")</f>
        <v>ΝΗΣΟΙ ΦΕΡΟΕΣ</v>
      </c>
      <c r="M76" s="14" t="str">
        <f ca="1">IFERROR(__xludf.DUMMYFUNCTION("""COMPUTED_VALUE"""),"Ferojski (Ovčji) otoci")</f>
        <v>Ferojski (Ovčji) otoci</v>
      </c>
      <c r="N76" s="14" t="str">
        <f ca="1">IFERROR(__xludf.DUMMYFUNCTION("""COMPUTED_VALUE"""),"Feröer")</f>
        <v>Feröer</v>
      </c>
      <c r="O76" s="14" t="str">
        <f ca="1">IFERROR(__xludf.DUMMYFUNCTION("""COMPUTED_VALUE"""),"Faroe, Kepulauan")</f>
        <v>Faroe, Kepulauan</v>
      </c>
      <c r="P76" s="14" t="str">
        <f ca="1">IFERROR(__xludf.DUMMYFUNCTION("""COMPUTED_VALUE"""),"Fær Øer")</f>
        <v>Fær Øer</v>
      </c>
      <c r="Q76" s="14" t="str">
        <f ca="1">IFERROR(__xludf.DUMMYFUNCTION("""COMPUTED_VALUE"""),"페로 제도")</f>
        <v>페로 제도</v>
      </c>
      <c r="R76" s="14" t="str">
        <f ca="1">IFERROR(__xludf.DUMMYFUNCTION("""COMPUTED_VALUE"""),"Wyspy Owcze")</f>
        <v>Wyspy Owcze</v>
      </c>
      <c r="S76" s="14" t="str">
        <f ca="1">IFERROR(__xludf.DUMMYFUNCTION("""COMPUTED_VALUE"""),"Feroé, Ilhas")</f>
        <v>Feroé, Ilhas</v>
      </c>
      <c r="T76" s="14" t="str">
        <f ca="1">IFERROR(__xludf.DUMMYFUNCTION("""COMPUTED_VALUE"""),"Insulele Feroe")</f>
        <v>Insulele Feroe</v>
      </c>
      <c r="U76" s="14" t="str">
        <f ca="1">IFERROR(__xludf.DUMMYFUNCTION("""COMPUTED_VALUE"""),"Farska Ostrva")</f>
        <v>Farska Ostrva</v>
      </c>
      <c r="V76" s="14" t="str">
        <f ca="1">IFERROR(__xludf.DUMMYFUNCTION("""COMPUTED_VALUE"""),"Фареры")</f>
        <v>Фареры</v>
      </c>
      <c r="W76" s="14" t="str">
        <f ca="1">IFERROR(__xludf.DUMMYFUNCTION("""COMPUTED_VALUE"""),"Färöarna")</f>
        <v>Färöarna</v>
      </c>
      <c r="X76" s="14" t="str">
        <f ca="1">IFERROR(__xludf.DUMMYFUNCTION("""COMPUTED_VALUE"""),"Ferski otoki")</f>
        <v>Ferski otoki</v>
      </c>
      <c r="Y76" s="14" t="str">
        <f ca="1">IFERROR(__xludf.DUMMYFUNCTION("""COMPUTED_VALUE"""),"Faerské ostrovy")</f>
        <v>Faerské ostrovy</v>
      </c>
      <c r="Z76" s="14" t="str">
        <f ca="1">IFERROR(__xludf.DUMMYFUNCTION("""COMPUTED_VALUE"""),"หมู่เกาะแฟโร")</f>
        <v>หมู่เกาะแฟโร</v>
      </c>
      <c r="AA76" s="14" t="str">
        <f ca="1">IFERROR(__xludf.DUMMYFUNCTION("""COMPUTED_VALUE"""),"Faroe Adaları")</f>
        <v>Faroe Adaları</v>
      </c>
      <c r="AB76" s="14" t="str">
        <f ca="1">IFERROR(__xludf.DUMMYFUNCTION("""COMPUTED_VALUE"""),"FAROE ADALARI")</f>
        <v>FAROE ADALARI</v>
      </c>
      <c r="AC76" s="14" t="str">
        <f ca="1">IFERROR(__xludf.DUMMYFUNCTION("""COMPUTED_VALUE"""),"Фарерські острови")</f>
        <v>Фарерські острови</v>
      </c>
      <c r="AD76" s="14" t="str">
        <f ca="1">IFERROR(__xludf.DUMMYFUNCTION("""COMPUTED_VALUE"""),"Quần đảo Faroe")</f>
        <v>Quần đảo Faroe</v>
      </c>
      <c r="AE76" s="14" t="str">
        <f ca="1">IFERROR(__xludf.DUMMYFUNCTION("""COMPUTED_VALUE"""),"Фарер аралдары")</f>
        <v>Фарер аралдары</v>
      </c>
      <c r="AF76" s="14"/>
    </row>
    <row r="77" spans="1:32" ht="13" x14ac:dyDescent="0.15">
      <c r="A77" s="14" t="str">
        <f ca="1">IFERROR(__xludf.DUMMYFUNCTION("""COMPUTED_VALUE"""),"FR")</f>
        <v>FR</v>
      </c>
      <c r="B77" s="14" t="str">
        <f ca="1">IFERROR(__xludf.DUMMYFUNCTION("""COMPUTED_VALUE"""),"France")</f>
        <v>France</v>
      </c>
      <c r="C77" s="14" t="str">
        <f ca="1">IFERROR(__xludf.DUMMYFUNCTION("""COMPUTED_VALUE"""),"فرنسا")</f>
        <v>فرنسا</v>
      </c>
      <c r="D77" s="14" t="str">
        <f ca="1">IFERROR(__xludf.DUMMYFUNCTION("""COMPUTED_VALUE"""),"Франция")</f>
        <v>Франция</v>
      </c>
      <c r="E77" s="14" t="str">
        <f ca="1">IFERROR(__xludf.DUMMYFUNCTION("""COMPUTED_VALUE"""),"França")</f>
        <v>França</v>
      </c>
      <c r="F77" s="14" t="str">
        <f ca="1">IFERROR(__xludf.DUMMYFUNCTION("""COMPUTED_VALUE"""),"Францыя")</f>
        <v>Францыя</v>
      </c>
      <c r="G77" s="14" t="str">
        <f ca="1">IFERROR(__xludf.DUMMYFUNCTION("""COMPUTED_VALUE"""),"Francie")</f>
        <v>Francie</v>
      </c>
      <c r="H77" s="14" t="str">
        <f ca="1">IFERROR(__xludf.DUMMYFUNCTION("""COMPUTED_VALUE"""),"Frankreich")</f>
        <v>Frankreich</v>
      </c>
      <c r="I77" s="14" t="str">
        <f ca="1">IFERROR(__xludf.DUMMYFUNCTION("""COMPUTED_VALUE"""),"Francia")</f>
        <v>Francia</v>
      </c>
      <c r="J77" s="14" t="str">
        <f ca="1">IFERROR(__xludf.DUMMYFUNCTION("""COMPUTED_VALUE"""),"Ranska")</f>
        <v>Ranska</v>
      </c>
      <c r="K77" s="14" t="str">
        <f ca="1">IFERROR(__xludf.DUMMYFUNCTION("""COMPUTED_VALUE"""),"Γαλλία")</f>
        <v>Γαλλία</v>
      </c>
      <c r="L77" s="14" t="str">
        <f ca="1">IFERROR(__xludf.DUMMYFUNCTION("""COMPUTED_VALUE"""),"ΓΑΛΛΙΑ")</f>
        <v>ΓΑΛΛΙΑ</v>
      </c>
      <c r="M77" s="14" t="str">
        <f ca="1">IFERROR(__xludf.DUMMYFUNCTION("""COMPUTED_VALUE"""),"Francuska")</f>
        <v>Francuska</v>
      </c>
      <c r="N77" s="14" t="str">
        <f ca="1">IFERROR(__xludf.DUMMYFUNCTION("""COMPUTED_VALUE"""),"Franciaország")</f>
        <v>Franciaország</v>
      </c>
      <c r="O77" s="14" t="str">
        <f ca="1">IFERROR(__xludf.DUMMYFUNCTION("""COMPUTED_VALUE"""),"Perancis")</f>
        <v>Perancis</v>
      </c>
      <c r="P77" s="14" t="str">
        <f ca="1">IFERROR(__xludf.DUMMYFUNCTION("""COMPUTED_VALUE"""),"Francia")</f>
        <v>Francia</v>
      </c>
      <c r="Q77" s="14" t="str">
        <f ca="1">IFERROR(__xludf.DUMMYFUNCTION("""COMPUTED_VALUE"""),"프랑스")</f>
        <v>프랑스</v>
      </c>
      <c r="R77" s="14" t="str">
        <f ca="1">IFERROR(__xludf.DUMMYFUNCTION("""COMPUTED_VALUE"""),"Francja")</f>
        <v>Francja</v>
      </c>
      <c r="S77" s="14" t="str">
        <f ca="1">IFERROR(__xludf.DUMMYFUNCTION("""COMPUTED_VALUE"""),"França")</f>
        <v>França</v>
      </c>
      <c r="T77" s="14" t="str">
        <f ca="1">IFERROR(__xludf.DUMMYFUNCTION("""COMPUTED_VALUE"""),"Franța")</f>
        <v>Franța</v>
      </c>
      <c r="U77" s="14" t="str">
        <f ca="1">IFERROR(__xludf.DUMMYFUNCTION("""COMPUTED_VALUE"""),"Francuska")</f>
        <v>Francuska</v>
      </c>
      <c r="V77" s="14" t="str">
        <f ca="1">IFERROR(__xludf.DUMMYFUNCTION("""COMPUTED_VALUE"""),"Франция")</f>
        <v>Франция</v>
      </c>
      <c r="W77" s="14" t="str">
        <f ca="1">IFERROR(__xludf.DUMMYFUNCTION("""COMPUTED_VALUE"""),"Frankrike")</f>
        <v>Frankrike</v>
      </c>
      <c r="X77" s="14" t="str">
        <f ca="1">IFERROR(__xludf.DUMMYFUNCTION("""COMPUTED_VALUE"""),"Francija")</f>
        <v>Francija</v>
      </c>
      <c r="Y77" s="14" t="str">
        <f ca="1">IFERROR(__xludf.DUMMYFUNCTION("""COMPUTED_VALUE"""),"Francúzsko")</f>
        <v>Francúzsko</v>
      </c>
      <c r="Z77" s="14" t="str">
        <f ca="1">IFERROR(__xludf.DUMMYFUNCTION("""COMPUTED_VALUE"""),"ฝรั่งเศส")</f>
        <v>ฝรั่งเศส</v>
      </c>
      <c r="AA77" s="14" t="str">
        <f ca="1">IFERROR(__xludf.DUMMYFUNCTION("""COMPUTED_VALUE"""),"Fransa")</f>
        <v>Fransa</v>
      </c>
      <c r="AB77" s="14" t="str">
        <f ca="1">IFERROR(__xludf.DUMMYFUNCTION("""COMPUTED_VALUE"""),"FRANSA")</f>
        <v>FRANSA</v>
      </c>
      <c r="AC77" s="14" t="str">
        <f ca="1">IFERROR(__xludf.DUMMYFUNCTION("""COMPUTED_VALUE"""),"Франція")</f>
        <v>Франція</v>
      </c>
      <c r="AD77" s="14" t="str">
        <f ca="1">IFERROR(__xludf.DUMMYFUNCTION("""COMPUTED_VALUE"""),"Pháp")</f>
        <v>Pháp</v>
      </c>
      <c r="AE77" s="14" t="str">
        <f ca="1">IFERROR(__xludf.DUMMYFUNCTION("""COMPUTED_VALUE"""),"Франция")</f>
        <v>Франция</v>
      </c>
      <c r="AF77" s="14"/>
    </row>
    <row r="78" spans="1:32" ht="13" x14ac:dyDescent="0.15">
      <c r="A78" s="14" t="str">
        <f ca="1">IFERROR(__xludf.DUMMYFUNCTION("""COMPUTED_VALUE"""),"GA")</f>
        <v>GA</v>
      </c>
      <c r="B78" s="14" t="str">
        <f ca="1">IFERROR(__xludf.DUMMYFUNCTION("""COMPUTED_VALUE"""),"Gabon")</f>
        <v>Gabon</v>
      </c>
      <c r="C78" s="14" t="str">
        <f ca="1">IFERROR(__xludf.DUMMYFUNCTION("""COMPUTED_VALUE"""),"الجابون")</f>
        <v>الجابون</v>
      </c>
      <c r="D78" s="14" t="str">
        <f ca="1">IFERROR(__xludf.DUMMYFUNCTION("""COMPUTED_VALUE"""),"Габон")</f>
        <v>Габон</v>
      </c>
      <c r="E78" s="14" t="str">
        <f ca="1">IFERROR(__xludf.DUMMYFUNCTION("""COMPUTED_VALUE"""),"Gabão")</f>
        <v>Gabão</v>
      </c>
      <c r="F78" s="14" t="str">
        <f ca="1">IFERROR(__xludf.DUMMYFUNCTION("""COMPUTED_VALUE"""),"Габон")</f>
        <v>Габон</v>
      </c>
      <c r="G78" s="14" t="str">
        <f ca="1">IFERROR(__xludf.DUMMYFUNCTION("""COMPUTED_VALUE"""),"Gabon")</f>
        <v>Gabon</v>
      </c>
      <c r="H78" s="14" t="str">
        <f ca="1">IFERROR(__xludf.DUMMYFUNCTION("""COMPUTED_VALUE"""),"Gabun")</f>
        <v>Gabun</v>
      </c>
      <c r="I78" s="14" t="str">
        <f ca="1">IFERROR(__xludf.DUMMYFUNCTION("""COMPUTED_VALUE"""),"Gabón")</f>
        <v>Gabón</v>
      </c>
      <c r="J78" s="14" t="str">
        <f ca="1">IFERROR(__xludf.DUMMYFUNCTION("""COMPUTED_VALUE"""),"Gabon")</f>
        <v>Gabon</v>
      </c>
      <c r="K78" s="14" t="str">
        <f ca="1">IFERROR(__xludf.DUMMYFUNCTION("""COMPUTED_VALUE"""),"Γκαμπόν")</f>
        <v>Γκαμπόν</v>
      </c>
      <c r="L78" s="14" t="str">
        <f ca="1">IFERROR(__xludf.DUMMYFUNCTION("""COMPUTED_VALUE"""),"ΓΚΑΜΠΟΝ")</f>
        <v>ΓΚΑΜΠΟΝ</v>
      </c>
      <c r="M78" s="14" t="str">
        <f ca="1">IFERROR(__xludf.DUMMYFUNCTION("""COMPUTED_VALUE"""),"Gabon")</f>
        <v>Gabon</v>
      </c>
      <c r="N78" s="14" t="str">
        <f ca="1">IFERROR(__xludf.DUMMYFUNCTION("""COMPUTED_VALUE"""),"Gabon")</f>
        <v>Gabon</v>
      </c>
      <c r="O78" s="14" t="str">
        <f ca="1">IFERROR(__xludf.DUMMYFUNCTION("""COMPUTED_VALUE"""),"Gabon")</f>
        <v>Gabon</v>
      </c>
      <c r="P78" s="14" t="str">
        <f ca="1">IFERROR(__xludf.DUMMYFUNCTION("""COMPUTED_VALUE"""),"Gabon")</f>
        <v>Gabon</v>
      </c>
      <c r="Q78" s="14" t="str">
        <f ca="1">IFERROR(__xludf.DUMMYFUNCTION("""COMPUTED_VALUE"""),"가봉")</f>
        <v>가봉</v>
      </c>
      <c r="R78" s="14" t="str">
        <f ca="1">IFERROR(__xludf.DUMMYFUNCTION("""COMPUTED_VALUE"""),"Gabon")</f>
        <v>Gabon</v>
      </c>
      <c r="S78" s="14" t="str">
        <f ca="1">IFERROR(__xludf.DUMMYFUNCTION("""COMPUTED_VALUE"""),"Gabão")</f>
        <v>Gabão</v>
      </c>
      <c r="T78" s="14" t="str">
        <f ca="1">IFERROR(__xludf.DUMMYFUNCTION("""COMPUTED_VALUE"""),"Gabon")</f>
        <v>Gabon</v>
      </c>
      <c r="U78" s="14" t="str">
        <f ca="1">IFERROR(__xludf.DUMMYFUNCTION("""COMPUTED_VALUE"""),"Gabon")</f>
        <v>Gabon</v>
      </c>
      <c r="V78" s="14" t="str">
        <f ca="1">IFERROR(__xludf.DUMMYFUNCTION("""COMPUTED_VALUE"""),"Габон")</f>
        <v>Габон</v>
      </c>
      <c r="W78" s="14" t="str">
        <f ca="1">IFERROR(__xludf.DUMMYFUNCTION("""COMPUTED_VALUE"""),"Gabon")</f>
        <v>Gabon</v>
      </c>
      <c r="X78" s="14" t="str">
        <f ca="1">IFERROR(__xludf.DUMMYFUNCTION("""COMPUTED_VALUE"""),"Gabon")</f>
        <v>Gabon</v>
      </c>
      <c r="Y78" s="14" t="str">
        <f ca="1">IFERROR(__xludf.DUMMYFUNCTION("""COMPUTED_VALUE"""),"Gabon")</f>
        <v>Gabon</v>
      </c>
      <c r="Z78" s="14" t="str">
        <f ca="1">IFERROR(__xludf.DUMMYFUNCTION("""COMPUTED_VALUE"""),"กาบอง")</f>
        <v>กาบอง</v>
      </c>
      <c r="AA78" s="14" t="str">
        <f ca="1">IFERROR(__xludf.DUMMYFUNCTION("""COMPUTED_VALUE"""),"Gabon")</f>
        <v>Gabon</v>
      </c>
      <c r="AB78" s="14" t="str">
        <f ca="1">IFERROR(__xludf.DUMMYFUNCTION("""COMPUTED_VALUE"""),"GABON")</f>
        <v>GABON</v>
      </c>
      <c r="AC78" s="14" t="str">
        <f ca="1">IFERROR(__xludf.DUMMYFUNCTION("""COMPUTED_VALUE"""),"Габон")</f>
        <v>Габон</v>
      </c>
      <c r="AD78" s="14" t="str">
        <f ca="1">IFERROR(__xludf.DUMMYFUNCTION("""COMPUTED_VALUE"""),"Gabon")</f>
        <v>Gabon</v>
      </c>
      <c r="AE78" s="14" t="str">
        <f ca="1">IFERROR(__xludf.DUMMYFUNCTION("""COMPUTED_VALUE"""),"Габон")</f>
        <v>Габон</v>
      </c>
      <c r="AF78" s="14"/>
    </row>
    <row r="79" spans="1:32" ht="13" x14ac:dyDescent="0.15">
      <c r="A79" s="14" t="str">
        <f ca="1">IFERROR(__xludf.DUMMYFUNCTION("""COMPUTED_VALUE"""),"GD")</f>
        <v>GD</v>
      </c>
      <c r="B79" s="14" t="str">
        <f ca="1">IFERROR(__xludf.DUMMYFUNCTION("""COMPUTED_VALUE"""),"Grenada")</f>
        <v>Grenada</v>
      </c>
      <c r="C79" s="14" t="str">
        <f ca="1">IFERROR(__xludf.DUMMYFUNCTION("""COMPUTED_VALUE"""),"جرينادا")</f>
        <v>جرينادا</v>
      </c>
      <c r="D79" s="14" t="str">
        <f ca="1">IFERROR(__xludf.DUMMYFUNCTION("""COMPUTED_VALUE"""),"Гренада")</f>
        <v>Гренада</v>
      </c>
      <c r="E79" s="14" t="str">
        <f ca="1">IFERROR(__xludf.DUMMYFUNCTION("""COMPUTED_VALUE"""),"Grenada")</f>
        <v>Grenada</v>
      </c>
      <c r="F79" s="14" t="str">
        <f ca="1">IFERROR(__xludf.DUMMYFUNCTION("""COMPUTED_VALUE"""),"Грэнада")</f>
        <v>Грэнада</v>
      </c>
      <c r="G79" s="14" t="str">
        <f ca="1">IFERROR(__xludf.DUMMYFUNCTION("""COMPUTED_VALUE"""),"Grenada")</f>
        <v>Grenada</v>
      </c>
      <c r="H79" s="14" t="str">
        <f ca="1">IFERROR(__xludf.DUMMYFUNCTION("""COMPUTED_VALUE"""),"Grenada")</f>
        <v>Grenada</v>
      </c>
      <c r="I79" s="14" t="str">
        <f ca="1">IFERROR(__xludf.DUMMYFUNCTION("""COMPUTED_VALUE"""),"Granada")</f>
        <v>Granada</v>
      </c>
      <c r="J79" s="14" t="str">
        <f ca="1">IFERROR(__xludf.DUMMYFUNCTION("""COMPUTED_VALUE"""),"Grenada")</f>
        <v>Grenada</v>
      </c>
      <c r="K79" s="14" t="str">
        <f ca="1">IFERROR(__xludf.DUMMYFUNCTION("""COMPUTED_VALUE"""),"Γρενάδα")</f>
        <v>Γρενάδα</v>
      </c>
      <c r="L79" s="14" t="str">
        <f ca="1">IFERROR(__xludf.DUMMYFUNCTION("""COMPUTED_VALUE"""),"ΓΡΕΝΑΔΑ")</f>
        <v>ΓΡΕΝΑΔΑ</v>
      </c>
      <c r="M79" s="14" t="str">
        <f ca="1">IFERROR(__xludf.DUMMYFUNCTION("""COMPUTED_VALUE"""),"Grenada")</f>
        <v>Grenada</v>
      </c>
      <c r="N79" s="14" t="str">
        <f ca="1">IFERROR(__xludf.DUMMYFUNCTION("""COMPUTED_VALUE"""),"Grenada")</f>
        <v>Grenada</v>
      </c>
      <c r="O79" s="14" t="str">
        <f ca="1">IFERROR(__xludf.DUMMYFUNCTION("""COMPUTED_VALUE"""),"Grenada")</f>
        <v>Grenada</v>
      </c>
      <c r="P79" s="14" t="str">
        <f ca="1">IFERROR(__xludf.DUMMYFUNCTION("""COMPUTED_VALUE"""),"Grenada")</f>
        <v>Grenada</v>
      </c>
      <c r="Q79" s="14" t="str">
        <f ca="1">IFERROR(__xludf.DUMMYFUNCTION("""COMPUTED_VALUE"""),"그레나다")</f>
        <v>그레나다</v>
      </c>
      <c r="R79" s="14" t="str">
        <f ca="1">IFERROR(__xludf.DUMMYFUNCTION("""COMPUTED_VALUE"""),"Grenada")</f>
        <v>Grenada</v>
      </c>
      <c r="S79" s="14" t="str">
        <f ca="1">IFERROR(__xludf.DUMMYFUNCTION("""COMPUTED_VALUE"""),"Grenada")</f>
        <v>Grenada</v>
      </c>
      <c r="T79" s="14" t="str">
        <f ca="1">IFERROR(__xludf.DUMMYFUNCTION("""COMPUTED_VALUE"""),"Grenada")</f>
        <v>Grenada</v>
      </c>
      <c r="U79" s="14" t="str">
        <f ca="1">IFERROR(__xludf.DUMMYFUNCTION("""COMPUTED_VALUE"""),"Grenada")</f>
        <v>Grenada</v>
      </c>
      <c r="V79" s="14" t="str">
        <f ca="1">IFERROR(__xludf.DUMMYFUNCTION("""COMPUTED_VALUE"""),"Гренада")</f>
        <v>Гренада</v>
      </c>
      <c r="W79" s="14" t="str">
        <f ca="1">IFERROR(__xludf.DUMMYFUNCTION("""COMPUTED_VALUE"""),"Grenada")</f>
        <v>Grenada</v>
      </c>
      <c r="X79" s="14" t="str">
        <f ca="1">IFERROR(__xludf.DUMMYFUNCTION("""COMPUTED_VALUE"""),"Grenada")</f>
        <v>Grenada</v>
      </c>
      <c r="Y79" s="14" t="str">
        <f ca="1">IFERROR(__xludf.DUMMYFUNCTION("""COMPUTED_VALUE"""),"Grenada")</f>
        <v>Grenada</v>
      </c>
      <c r="Z79" s="14" t="str">
        <f ca="1">IFERROR(__xludf.DUMMYFUNCTION("""COMPUTED_VALUE"""),"เกรเนดา")</f>
        <v>เกรเนดา</v>
      </c>
      <c r="AA79" s="14" t="str">
        <f ca="1">IFERROR(__xludf.DUMMYFUNCTION("""COMPUTED_VALUE"""),"Grenada")</f>
        <v>Grenada</v>
      </c>
      <c r="AB79" s="14" t="str">
        <f ca="1">IFERROR(__xludf.DUMMYFUNCTION("""COMPUTED_VALUE"""),"GRENADA")</f>
        <v>GRENADA</v>
      </c>
      <c r="AC79" s="14" t="str">
        <f ca="1">IFERROR(__xludf.DUMMYFUNCTION("""COMPUTED_VALUE"""),"Гренада")</f>
        <v>Гренада</v>
      </c>
      <c r="AD79" s="14" t="str">
        <f ca="1">IFERROR(__xludf.DUMMYFUNCTION("""COMPUTED_VALUE"""),"Grenada")</f>
        <v>Grenada</v>
      </c>
      <c r="AE79" s="14" t="str">
        <f ca="1">IFERROR(__xludf.DUMMYFUNCTION("""COMPUTED_VALUE"""),"Гренада")</f>
        <v>Гренада</v>
      </c>
      <c r="AF79" s="14"/>
    </row>
    <row r="80" spans="1:32" ht="13" x14ac:dyDescent="0.15">
      <c r="A80" s="14" t="str">
        <f ca="1">IFERROR(__xludf.DUMMYFUNCTION("""COMPUTED_VALUE"""),"GE")</f>
        <v>GE</v>
      </c>
      <c r="B80" s="14" t="str">
        <f ca="1">IFERROR(__xludf.DUMMYFUNCTION("""COMPUTED_VALUE"""),"Georgia")</f>
        <v>Georgia</v>
      </c>
      <c r="C80" s="14" t="str">
        <f ca="1">IFERROR(__xludf.DUMMYFUNCTION("""COMPUTED_VALUE"""),"جورجيا")</f>
        <v>جورجيا</v>
      </c>
      <c r="D80" s="14" t="str">
        <f ca="1">IFERROR(__xludf.DUMMYFUNCTION("""COMPUTED_VALUE"""),"Грузия")</f>
        <v>Грузия</v>
      </c>
      <c r="E80" s="14" t="str">
        <f ca="1">IFERROR(__xludf.DUMMYFUNCTION("""COMPUTED_VALUE"""),"Geórgia")</f>
        <v>Geórgia</v>
      </c>
      <c r="F80" s="14" t="str">
        <f ca="1">IFERROR(__xludf.DUMMYFUNCTION("""COMPUTED_VALUE"""),"Грузія")</f>
        <v>Грузія</v>
      </c>
      <c r="G80" s="14" t="str">
        <f ca="1">IFERROR(__xludf.DUMMYFUNCTION("""COMPUTED_VALUE"""),"Gruzie")</f>
        <v>Gruzie</v>
      </c>
      <c r="H80" s="14" t="str">
        <f ca="1">IFERROR(__xludf.DUMMYFUNCTION("""COMPUTED_VALUE"""),"Georgien")</f>
        <v>Georgien</v>
      </c>
      <c r="I80" s="14" t="str">
        <f ca="1">IFERROR(__xludf.DUMMYFUNCTION("""COMPUTED_VALUE"""),"Georgia")</f>
        <v>Georgia</v>
      </c>
      <c r="J80" s="14" t="str">
        <f ca="1">IFERROR(__xludf.DUMMYFUNCTION("""COMPUTED_VALUE"""),"Georgia")</f>
        <v>Georgia</v>
      </c>
      <c r="K80" s="14" t="str">
        <f ca="1">IFERROR(__xludf.DUMMYFUNCTION("""COMPUTED_VALUE"""),"Γεωργία")</f>
        <v>Γεωργία</v>
      </c>
      <c r="L80" s="14" t="str">
        <f ca="1">IFERROR(__xludf.DUMMYFUNCTION("""COMPUTED_VALUE"""),"ΓΕΩΡΓΙΑ")</f>
        <v>ΓΕΩΡΓΙΑ</v>
      </c>
      <c r="M80" s="14" t="str">
        <f ca="1">IFERROR(__xludf.DUMMYFUNCTION("""COMPUTED_VALUE"""),"Gruzija")</f>
        <v>Gruzija</v>
      </c>
      <c r="N80" s="14" t="str">
        <f ca="1">IFERROR(__xludf.DUMMYFUNCTION("""COMPUTED_VALUE"""),"Grúzia")</f>
        <v>Grúzia</v>
      </c>
      <c r="O80" s="14" t="str">
        <f ca="1">IFERROR(__xludf.DUMMYFUNCTION("""COMPUTED_VALUE"""),"Georgia")</f>
        <v>Georgia</v>
      </c>
      <c r="P80" s="14" t="str">
        <f ca="1">IFERROR(__xludf.DUMMYFUNCTION("""COMPUTED_VALUE"""),"Georgia")</f>
        <v>Georgia</v>
      </c>
      <c r="Q80" s="14" t="str">
        <f ca="1">IFERROR(__xludf.DUMMYFUNCTION("""COMPUTED_VALUE"""),"조지아")</f>
        <v>조지아</v>
      </c>
      <c r="R80" s="14" t="str">
        <f ca="1">IFERROR(__xludf.DUMMYFUNCTION("""COMPUTED_VALUE"""),"Gruzja")</f>
        <v>Gruzja</v>
      </c>
      <c r="S80" s="14" t="str">
        <f ca="1">IFERROR(__xludf.DUMMYFUNCTION("""COMPUTED_VALUE"""),"Geórgia")</f>
        <v>Geórgia</v>
      </c>
      <c r="T80" s="14" t="str">
        <f ca="1">IFERROR(__xludf.DUMMYFUNCTION("""COMPUTED_VALUE"""),"Georgia")</f>
        <v>Georgia</v>
      </c>
      <c r="U80" s="14" t="str">
        <f ca="1">IFERROR(__xludf.DUMMYFUNCTION("""COMPUTED_VALUE"""),"Gruzija")</f>
        <v>Gruzija</v>
      </c>
      <c r="V80" s="14" t="str">
        <f ca="1">IFERROR(__xludf.DUMMYFUNCTION("""COMPUTED_VALUE"""),"Грузия")</f>
        <v>Грузия</v>
      </c>
      <c r="W80" s="14" t="str">
        <f ca="1">IFERROR(__xludf.DUMMYFUNCTION("""COMPUTED_VALUE"""),"Georgien")</f>
        <v>Georgien</v>
      </c>
      <c r="X80" s="14" t="str">
        <f ca="1">IFERROR(__xludf.DUMMYFUNCTION("""COMPUTED_VALUE"""),"Gruzija")</f>
        <v>Gruzija</v>
      </c>
      <c r="Y80" s="14" t="str">
        <f ca="1">IFERROR(__xludf.DUMMYFUNCTION("""COMPUTED_VALUE"""),"Gruzínsko")</f>
        <v>Gruzínsko</v>
      </c>
      <c r="Z80" s="14" t="str">
        <f ca="1">IFERROR(__xludf.DUMMYFUNCTION("""COMPUTED_VALUE"""),"จอร์เจีย")</f>
        <v>จอร์เจีย</v>
      </c>
      <c r="AA80" s="14" t="str">
        <f ca="1">IFERROR(__xludf.DUMMYFUNCTION("""COMPUTED_VALUE"""),"Gürcistan")</f>
        <v>Gürcistan</v>
      </c>
      <c r="AB80" s="14" t="str">
        <f ca="1">IFERROR(__xludf.DUMMYFUNCTION("""COMPUTED_VALUE"""),"GÜRCİSTAN")</f>
        <v>GÜRCİSTAN</v>
      </c>
      <c r="AC80" s="14" t="str">
        <f ca="1">IFERROR(__xludf.DUMMYFUNCTION("""COMPUTED_VALUE"""),"Грузія")</f>
        <v>Грузія</v>
      </c>
      <c r="AD80" s="14" t="str">
        <f ca="1">IFERROR(__xludf.DUMMYFUNCTION("""COMPUTED_VALUE"""),"Gruzia")</f>
        <v>Gruzia</v>
      </c>
      <c r="AE80" s="14" t="str">
        <f ca="1">IFERROR(__xludf.DUMMYFUNCTION("""COMPUTED_VALUE"""),"Грузия")</f>
        <v>Грузия</v>
      </c>
      <c r="AF80" s="14"/>
    </row>
    <row r="81" spans="1:32" ht="13" x14ac:dyDescent="0.15">
      <c r="A81" s="14" t="str">
        <f ca="1">IFERROR(__xludf.DUMMYFUNCTION("""COMPUTED_VALUE"""),"GF")</f>
        <v>GF</v>
      </c>
      <c r="B81" s="14" t="str">
        <f ca="1">IFERROR(__xludf.DUMMYFUNCTION("""COMPUTED_VALUE"""),"French Guiana")</f>
        <v>French Guiana</v>
      </c>
      <c r="C81" s="14" t="str">
        <f ca="1">IFERROR(__xludf.DUMMYFUNCTION("""COMPUTED_VALUE"""),"غويانا")</f>
        <v>غويانا</v>
      </c>
      <c r="D81" s="14" t="str">
        <f ca="1">IFERROR(__xludf.DUMMYFUNCTION("""COMPUTED_VALUE"""),"Френска Гвиана")</f>
        <v>Френска Гвиана</v>
      </c>
      <c r="E81" s="14" t="str">
        <f ca="1">IFERROR(__xludf.DUMMYFUNCTION("""COMPUTED_VALUE"""),"Guiana Francesa")</f>
        <v>Guiana Francesa</v>
      </c>
      <c r="F81" s="14" t="str">
        <f ca="1">IFERROR(__xludf.DUMMYFUNCTION("""COMPUTED_VALUE"""),"Гвіяна")</f>
        <v>Гвіяна</v>
      </c>
      <c r="G81" s="14" t="str">
        <f ca="1">IFERROR(__xludf.DUMMYFUNCTION("""COMPUTED_VALUE"""),"Francouzská Guyana")</f>
        <v>Francouzská Guyana</v>
      </c>
      <c r="H81" s="14" t="str">
        <f ca="1">IFERROR(__xludf.DUMMYFUNCTION("""COMPUTED_VALUE"""),"Französisch-Guayana")</f>
        <v>Französisch-Guayana</v>
      </c>
      <c r="I81" s="14" t="str">
        <f ca="1">IFERROR(__xludf.DUMMYFUNCTION("""COMPUTED_VALUE"""),"Guayana Francesa")</f>
        <v>Guayana Francesa</v>
      </c>
      <c r="J81" s="14" t="str">
        <f ca="1">IFERROR(__xludf.DUMMYFUNCTION("""COMPUTED_VALUE"""),"Ranskan Guayana")</f>
        <v>Ranskan Guayana</v>
      </c>
      <c r="K81" s="14" t="str">
        <f ca="1">IFERROR(__xludf.DUMMYFUNCTION("""COMPUTED_VALUE"""),"Γαλλική Γουιάνα")</f>
        <v>Γαλλική Γουιάνα</v>
      </c>
      <c r="L81" s="14" t="str">
        <f ca="1">IFERROR(__xludf.DUMMYFUNCTION("""COMPUTED_VALUE"""),"ΓΑΛΛΙΚΗ ΓΟΥΙΑΝΑ")</f>
        <v>ΓΑΛΛΙΚΗ ΓΟΥΙΑΝΑ</v>
      </c>
      <c r="M81" s="14" t="str">
        <f ca="1">IFERROR(__xludf.DUMMYFUNCTION("""COMPUTED_VALUE"""),"Francuska Gvajana")</f>
        <v>Francuska Gvajana</v>
      </c>
      <c r="N81" s="14" t="str">
        <f ca="1">IFERROR(__xludf.DUMMYFUNCTION("""COMPUTED_VALUE"""),"Francia Guyana Francia Guyana")</f>
        <v>Francia Guyana Francia Guyana</v>
      </c>
      <c r="O81" s="14" t="str">
        <f ca="1">IFERROR(__xludf.DUMMYFUNCTION("""COMPUTED_VALUE"""),"Guyana Perancis")</f>
        <v>Guyana Perancis</v>
      </c>
      <c r="P81" s="14" t="str">
        <f ca="1">IFERROR(__xludf.DUMMYFUNCTION("""COMPUTED_VALUE"""),"Guyana francese")</f>
        <v>Guyana francese</v>
      </c>
      <c r="Q81" s="14" t="str">
        <f ca="1">IFERROR(__xludf.DUMMYFUNCTION("""COMPUTED_VALUE"""),"프랑스령 기아나")</f>
        <v>프랑스령 기아나</v>
      </c>
      <c r="R81" s="14" t="str">
        <f ca="1">IFERROR(__xludf.DUMMYFUNCTION("""COMPUTED_VALUE"""),"Gujana Francuska")</f>
        <v>Gujana Francuska</v>
      </c>
      <c r="S81" s="14" t="str">
        <f ca="1">IFERROR(__xludf.DUMMYFUNCTION("""COMPUTED_VALUE"""),"Guiana Francesa")</f>
        <v>Guiana Francesa</v>
      </c>
      <c r="T81" s="14" t="str">
        <f ca="1">IFERROR(__xludf.DUMMYFUNCTION("""COMPUTED_VALUE"""),"Guiana Franceză")</f>
        <v>Guiana Franceză</v>
      </c>
      <c r="U81" s="14" t="str">
        <f ca="1">IFERROR(__xludf.DUMMYFUNCTION("""COMPUTED_VALUE"""),"Francuska Gijana")</f>
        <v>Francuska Gijana</v>
      </c>
      <c r="V81" s="14" t="str">
        <f ca="1">IFERROR(__xludf.DUMMYFUNCTION("""COMPUTED_VALUE"""),"Гвиана")</f>
        <v>Гвиана</v>
      </c>
      <c r="W81" s="14" t="str">
        <f ca="1">IFERROR(__xludf.DUMMYFUNCTION("""COMPUTED_VALUE"""),"Franska Guyana")</f>
        <v>Franska Guyana</v>
      </c>
      <c r="X81" s="14" t="str">
        <f ca="1">IFERROR(__xludf.DUMMYFUNCTION("""COMPUTED_VALUE"""),"Francoska Gvajana")</f>
        <v>Francoska Gvajana</v>
      </c>
      <c r="Y81" s="14" t="str">
        <f ca="1">IFERROR(__xludf.DUMMYFUNCTION("""COMPUTED_VALUE"""),"Francúzska Guyana")</f>
        <v>Francúzska Guyana</v>
      </c>
      <c r="Z81" s="14" t="str">
        <f ca="1">IFERROR(__xludf.DUMMYFUNCTION("""COMPUTED_VALUE"""),"เฟรนช์เกียนา")</f>
        <v>เฟรนช์เกียนา</v>
      </c>
      <c r="AA81" s="14" t="str">
        <f ca="1">IFERROR(__xludf.DUMMYFUNCTION("""COMPUTED_VALUE"""),"Fransız Guyanası")</f>
        <v>Fransız Guyanası</v>
      </c>
      <c r="AB81" s="14" t="str">
        <f ca="1">IFERROR(__xludf.DUMMYFUNCTION("""COMPUTED_VALUE"""),"FRANSIZ GUYANASI")</f>
        <v>FRANSIZ GUYANASI</v>
      </c>
      <c r="AC81" s="14" t="str">
        <f ca="1">IFERROR(__xludf.DUMMYFUNCTION("""COMPUTED_VALUE"""),"Французька Гвіана")</f>
        <v>Французька Гвіана</v>
      </c>
      <c r="AD81" s="14" t="str">
        <f ca="1">IFERROR(__xludf.DUMMYFUNCTION("""COMPUTED_VALUE"""),"Guyane thuộc Pháp")</f>
        <v>Guyane thuộc Pháp</v>
      </c>
      <c r="AE81" s="14" t="str">
        <f ca="1">IFERROR(__xludf.DUMMYFUNCTION("""COMPUTED_VALUE"""),"Француз Гвианасы")</f>
        <v>Француз Гвианасы</v>
      </c>
      <c r="AF81" s="14"/>
    </row>
    <row r="82" spans="1:32" ht="13" x14ac:dyDescent="0.15">
      <c r="A82" s="14" t="str">
        <f ca="1">IFERROR(__xludf.DUMMYFUNCTION("""COMPUTED_VALUE"""),"GG")</f>
        <v>GG</v>
      </c>
      <c r="B82" s="14" t="str">
        <f ca="1">IFERROR(__xludf.DUMMYFUNCTION("""COMPUTED_VALUE"""),"Guernsey")</f>
        <v>Guernsey</v>
      </c>
      <c r="C82" s="14"/>
      <c r="D82" s="14" t="str">
        <f ca="1">IFERROR(__xludf.DUMMYFUNCTION("""COMPUTED_VALUE"""),"Гърнси")</f>
        <v>Гърнси</v>
      </c>
      <c r="E82" s="14" t="str">
        <f ca="1">IFERROR(__xludf.DUMMYFUNCTION("""COMPUTED_VALUE"""),"Guernsey")</f>
        <v>Guernsey</v>
      </c>
      <c r="F82" s="14"/>
      <c r="G82" s="14" t="str">
        <f ca="1">IFERROR(__xludf.DUMMYFUNCTION("""COMPUTED_VALUE"""),"Guernsey")</f>
        <v>Guernsey</v>
      </c>
      <c r="H82" s="14" t="str">
        <f ca="1">IFERROR(__xludf.DUMMYFUNCTION("""COMPUTED_VALUE"""),"Guernsey (Kanalinsel)")</f>
        <v>Guernsey (Kanalinsel)</v>
      </c>
      <c r="I82" s="14" t="str">
        <f ca="1">IFERROR(__xludf.DUMMYFUNCTION("""COMPUTED_VALUE"""),"Guernsey")</f>
        <v>Guernsey</v>
      </c>
      <c r="J82" s="14" t="str">
        <f ca="1">IFERROR(__xludf.DUMMYFUNCTION("""COMPUTED_VALUE"""),"Guernsey")</f>
        <v>Guernsey</v>
      </c>
      <c r="K82" s="14" t="str">
        <f ca="1">IFERROR(__xludf.DUMMYFUNCTION("""COMPUTED_VALUE"""),"Γκέρνσεϊ")</f>
        <v>Γκέρνσεϊ</v>
      </c>
      <c r="L82" s="14" t="str">
        <f ca="1">IFERROR(__xludf.DUMMYFUNCTION("""COMPUTED_VALUE"""),"ΓΚΕΡΝΣΕΪ")</f>
        <v>ΓΚΕΡΝΣΕΪ</v>
      </c>
      <c r="M82" s="14" t="str">
        <f ca="1">IFERROR(__xludf.DUMMYFUNCTION("""COMPUTED_VALUE"""),"Guernsey")</f>
        <v>Guernsey</v>
      </c>
      <c r="N82" s="14" t="str">
        <f ca="1">IFERROR(__xludf.DUMMYFUNCTION("""COMPUTED_VALUE"""),"Guernsey Bailiffség")</f>
        <v>Guernsey Bailiffség</v>
      </c>
      <c r="O82" s="14" t="str">
        <f ca="1">IFERROR(__xludf.DUMMYFUNCTION("""COMPUTED_VALUE"""),"Guernsey")</f>
        <v>Guernsey</v>
      </c>
      <c r="P82" s="14" t="str">
        <f ca="1">IFERROR(__xludf.DUMMYFUNCTION("""COMPUTED_VALUE"""),"Guernsey")</f>
        <v>Guernsey</v>
      </c>
      <c r="Q82" s="14" t="str">
        <f ca="1">IFERROR(__xludf.DUMMYFUNCTION("""COMPUTED_VALUE"""),"건지 섬")</f>
        <v>건지 섬</v>
      </c>
      <c r="R82" s="14" t="str">
        <f ca="1">IFERROR(__xludf.DUMMYFUNCTION("""COMPUTED_VALUE"""),"Guernsey")</f>
        <v>Guernsey</v>
      </c>
      <c r="S82" s="14" t="str">
        <f ca="1">IFERROR(__xludf.DUMMYFUNCTION("""COMPUTED_VALUE"""),"Guernsey")</f>
        <v>Guernsey</v>
      </c>
      <c r="T82" s="14" t="str">
        <f ca="1">IFERROR(__xludf.DUMMYFUNCTION("""COMPUTED_VALUE"""),"Guernsey")</f>
        <v>Guernsey</v>
      </c>
      <c r="U82" s="14" t="str">
        <f ca="1">IFERROR(__xludf.DUMMYFUNCTION("""COMPUTED_VALUE"""),"Gernzi")</f>
        <v>Gernzi</v>
      </c>
      <c r="V82" s="14" t="str">
        <f ca="1">IFERROR(__xludf.DUMMYFUNCTION("""COMPUTED_VALUE"""),"Гернси")</f>
        <v>Гернси</v>
      </c>
      <c r="W82" s="14" t="str">
        <f ca="1">IFERROR(__xludf.DUMMYFUNCTION("""COMPUTED_VALUE"""),"Guernsey")</f>
        <v>Guernsey</v>
      </c>
      <c r="X82" s="14"/>
      <c r="Y82" s="14" t="str">
        <f ca="1">IFERROR(__xludf.DUMMYFUNCTION("""COMPUTED_VALUE"""),"Guernsey")</f>
        <v>Guernsey</v>
      </c>
      <c r="Z82" s="14" t="str">
        <f ca="1">IFERROR(__xludf.DUMMYFUNCTION("""COMPUTED_VALUE"""),"เกิร์นซีย์")</f>
        <v>เกิร์นซีย์</v>
      </c>
      <c r="AA82" s="14" t="str">
        <f ca="1">IFERROR(__xludf.DUMMYFUNCTION("""COMPUTED_VALUE"""),"Guernsey")</f>
        <v>Guernsey</v>
      </c>
      <c r="AB82" s="14" t="str">
        <f ca="1">IFERROR(__xludf.DUMMYFUNCTION("""COMPUTED_VALUE"""),"GUERNSEY")</f>
        <v>GUERNSEY</v>
      </c>
      <c r="AC82" s="14" t="str">
        <f ca="1">IFERROR(__xludf.DUMMYFUNCTION("""COMPUTED_VALUE"""),"Гернсі")</f>
        <v>Гернсі</v>
      </c>
      <c r="AD82" s="14" t="str">
        <f ca="1">IFERROR(__xludf.DUMMYFUNCTION("""COMPUTED_VALUE"""),"Guernsey")</f>
        <v>Guernsey</v>
      </c>
      <c r="AE82" s="14" t="str">
        <f ca="1">IFERROR(__xludf.DUMMYFUNCTION("""COMPUTED_VALUE"""),"")</f>
        <v/>
      </c>
      <c r="AF82" s="14"/>
    </row>
    <row r="83" spans="1:32" ht="13" x14ac:dyDescent="0.15">
      <c r="A83" s="14" t="str">
        <f ca="1">IFERROR(__xludf.DUMMYFUNCTION("""COMPUTED_VALUE"""),"GH")</f>
        <v>GH</v>
      </c>
      <c r="B83" s="14" t="str">
        <f ca="1">IFERROR(__xludf.DUMMYFUNCTION("""COMPUTED_VALUE"""),"Ghana")</f>
        <v>Ghana</v>
      </c>
      <c r="C83" s="14" t="str">
        <f ca="1">IFERROR(__xludf.DUMMYFUNCTION("""COMPUTED_VALUE"""),"غانا")</f>
        <v>غانا</v>
      </c>
      <c r="D83" s="14" t="str">
        <f ca="1">IFERROR(__xludf.DUMMYFUNCTION("""COMPUTED_VALUE"""),"Гана")</f>
        <v>Гана</v>
      </c>
      <c r="E83" s="14" t="str">
        <f ca="1">IFERROR(__xludf.DUMMYFUNCTION("""COMPUTED_VALUE"""),"Gana")</f>
        <v>Gana</v>
      </c>
      <c r="F83" s="14" t="str">
        <f ca="1">IFERROR(__xludf.DUMMYFUNCTION("""COMPUTED_VALUE"""),"Гана")</f>
        <v>Гана</v>
      </c>
      <c r="G83" s="14" t="str">
        <f ca="1">IFERROR(__xludf.DUMMYFUNCTION("""COMPUTED_VALUE"""),"Ghana")</f>
        <v>Ghana</v>
      </c>
      <c r="H83" s="14" t="str">
        <f ca="1">IFERROR(__xludf.DUMMYFUNCTION("""COMPUTED_VALUE"""),"Ghana")</f>
        <v>Ghana</v>
      </c>
      <c r="I83" s="14" t="str">
        <f ca="1">IFERROR(__xludf.DUMMYFUNCTION("""COMPUTED_VALUE"""),"Ghana")</f>
        <v>Ghana</v>
      </c>
      <c r="J83" s="14" t="str">
        <f ca="1">IFERROR(__xludf.DUMMYFUNCTION("""COMPUTED_VALUE"""),"Ghana")</f>
        <v>Ghana</v>
      </c>
      <c r="K83" s="14" t="str">
        <f ca="1">IFERROR(__xludf.DUMMYFUNCTION("""COMPUTED_VALUE"""),"Γκάνα")</f>
        <v>Γκάνα</v>
      </c>
      <c r="L83" s="14" t="str">
        <f ca="1">IFERROR(__xludf.DUMMYFUNCTION("""COMPUTED_VALUE"""),"ΓΚΑΝΑ")</f>
        <v>ΓΚΑΝΑ</v>
      </c>
      <c r="M83" s="14" t="str">
        <f ca="1">IFERROR(__xludf.DUMMYFUNCTION("""COMPUTED_VALUE"""),"Gana")</f>
        <v>Gana</v>
      </c>
      <c r="N83" s="14" t="str">
        <f ca="1">IFERROR(__xludf.DUMMYFUNCTION("""COMPUTED_VALUE"""),"Ghána")</f>
        <v>Ghána</v>
      </c>
      <c r="O83" s="14" t="str">
        <f ca="1">IFERROR(__xludf.DUMMYFUNCTION("""COMPUTED_VALUE"""),"Ghana")</f>
        <v>Ghana</v>
      </c>
      <c r="P83" s="14" t="str">
        <f ca="1">IFERROR(__xludf.DUMMYFUNCTION("""COMPUTED_VALUE"""),"Ghana")</f>
        <v>Ghana</v>
      </c>
      <c r="Q83" s="14" t="str">
        <f ca="1">IFERROR(__xludf.DUMMYFUNCTION("""COMPUTED_VALUE"""),"가나")</f>
        <v>가나</v>
      </c>
      <c r="R83" s="14" t="str">
        <f ca="1">IFERROR(__xludf.DUMMYFUNCTION("""COMPUTED_VALUE"""),"Ghana")</f>
        <v>Ghana</v>
      </c>
      <c r="S83" s="14" t="str">
        <f ca="1">IFERROR(__xludf.DUMMYFUNCTION("""COMPUTED_VALUE"""),"Gana")</f>
        <v>Gana</v>
      </c>
      <c r="T83" s="14" t="str">
        <f ca="1">IFERROR(__xludf.DUMMYFUNCTION("""COMPUTED_VALUE"""),"Ghana")</f>
        <v>Ghana</v>
      </c>
      <c r="U83" s="14" t="str">
        <f ca="1">IFERROR(__xludf.DUMMYFUNCTION("""COMPUTED_VALUE"""),"Gana")</f>
        <v>Gana</v>
      </c>
      <c r="V83" s="14" t="str">
        <f ca="1">IFERROR(__xludf.DUMMYFUNCTION("""COMPUTED_VALUE"""),"Гана")</f>
        <v>Гана</v>
      </c>
      <c r="W83" s="14" t="str">
        <f ca="1">IFERROR(__xludf.DUMMYFUNCTION("""COMPUTED_VALUE"""),"Ghana")</f>
        <v>Ghana</v>
      </c>
      <c r="X83" s="14" t="str">
        <f ca="1">IFERROR(__xludf.DUMMYFUNCTION("""COMPUTED_VALUE"""),"Gana")</f>
        <v>Gana</v>
      </c>
      <c r="Y83" s="14" t="str">
        <f ca="1">IFERROR(__xludf.DUMMYFUNCTION("""COMPUTED_VALUE"""),"Ghana")</f>
        <v>Ghana</v>
      </c>
      <c r="Z83" s="14" t="str">
        <f ca="1">IFERROR(__xludf.DUMMYFUNCTION("""COMPUTED_VALUE"""),"กานา")</f>
        <v>กานา</v>
      </c>
      <c r="AA83" s="14" t="str">
        <f ca="1">IFERROR(__xludf.DUMMYFUNCTION("""COMPUTED_VALUE"""),"Gana")</f>
        <v>Gana</v>
      </c>
      <c r="AB83" s="14" t="str">
        <f ca="1">IFERROR(__xludf.DUMMYFUNCTION("""COMPUTED_VALUE"""),"GANA")</f>
        <v>GANA</v>
      </c>
      <c r="AC83" s="14" t="str">
        <f ca="1">IFERROR(__xludf.DUMMYFUNCTION("""COMPUTED_VALUE"""),"Гана")</f>
        <v>Гана</v>
      </c>
      <c r="AD83" s="14" t="str">
        <f ca="1">IFERROR(__xludf.DUMMYFUNCTION("""COMPUTED_VALUE"""),"Ghana")</f>
        <v>Ghana</v>
      </c>
      <c r="AE83" s="14" t="str">
        <f ca="1">IFERROR(__xludf.DUMMYFUNCTION("""COMPUTED_VALUE"""),"Гана")</f>
        <v>Гана</v>
      </c>
      <c r="AF83" s="14"/>
    </row>
    <row r="84" spans="1:32" ht="13" x14ac:dyDescent="0.15">
      <c r="A84" s="14" t="str">
        <f ca="1">IFERROR(__xludf.DUMMYFUNCTION("""COMPUTED_VALUE"""),"GI")</f>
        <v>GI</v>
      </c>
      <c r="B84" s="14" t="str">
        <f ca="1">IFERROR(__xludf.DUMMYFUNCTION("""COMPUTED_VALUE"""),"Gibraltar")</f>
        <v>Gibraltar</v>
      </c>
      <c r="C84" s="14" t="str">
        <f ca="1">IFERROR(__xludf.DUMMYFUNCTION("""COMPUTED_VALUE"""),"جبل طارق")</f>
        <v>جبل طارق</v>
      </c>
      <c r="D84" s="14" t="str">
        <f ca="1">IFERROR(__xludf.DUMMYFUNCTION("""COMPUTED_VALUE"""),"Гибралтар")</f>
        <v>Гибралтар</v>
      </c>
      <c r="E84" s="14" t="str">
        <f ca="1">IFERROR(__xludf.DUMMYFUNCTION("""COMPUTED_VALUE"""),"Gibraltar")</f>
        <v>Gibraltar</v>
      </c>
      <c r="F84" s="14" t="str">
        <f ca="1">IFERROR(__xludf.DUMMYFUNCTION("""COMPUTED_VALUE"""),"Гібралтар")</f>
        <v>Гібралтар</v>
      </c>
      <c r="G84" s="14" t="str">
        <f ca="1">IFERROR(__xludf.DUMMYFUNCTION("""COMPUTED_VALUE"""),"Gibraltar")</f>
        <v>Gibraltar</v>
      </c>
      <c r="H84" s="14" t="str">
        <f ca="1">IFERROR(__xludf.DUMMYFUNCTION("""COMPUTED_VALUE"""),"Gibraltar")</f>
        <v>Gibraltar</v>
      </c>
      <c r="I84" s="14" t="str">
        <f ca="1">IFERROR(__xludf.DUMMYFUNCTION("""COMPUTED_VALUE"""),"Gibraltar")</f>
        <v>Gibraltar</v>
      </c>
      <c r="J84" s="14" t="str">
        <f ca="1">IFERROR(__xludf.DUMMYFUNCTION("""COMPUTED_VALUE"""),"Gibraltar")</f>
        <v>Gibraltar</v>
      </c>
      <c r="K84" s="14" t="str">
        <f ca="1">IFERROR(__xludf.DUMMYFUNCTION("""COMPUTED_VALUE"""),"Γιβραλτάρ")</f>
        <v>Γιβραλτάρ</v>
      </c>
      <c r="L84" s="14" t="str">
        <f ca="1">IFERROR(__xludf.DUMMYFUNCTION("""COMPUTED_VALUE"""),"ΓΙΒΡΑΛΤΑΡ")</f>
        <v>ΓΙΒΡΑΛΤΑΡ</v>
      </c>
      <c r="M84" s="14" t="str">
        <f ca="1">IFERROR(__xludf.DUMMYFUNCTION("""COMPUTED_VALUE"""),"Gibraltar")</f>
        <v>Gibraltar</v>
      </c>
      <c r="N84" s="14" t="str">
        <f ca="1">IFERROR(__xludf.DUMMYFUNCTION("""COMPUTED_VALUE"""),"Gibraltár")</f>
        <v>Gibraltár</v>
      </c>
      <c r="O84" s="14" t="str">
        <f ca="1">IFERROR(__xludf.DUMMYFUNCTION("""COMPUTED_VALUE"""),"Gibraltar")</f>
        <v>Gibraltar</v>
      </c>
      <c r="P84" s="14" t="str">
        <f ca="1">IFERROR(__xludf.DUMMYFUNCTION("""COMPUTED_VALUE"""),"Gibilterra")</f>
        <v>Gibilterra</v>
      </c>
      <c r="Q84" s="14" t="str">
        <f ca="1">IFERROR(__xludf.DUMMYFUNCTION("""COMPUTED_VALUE"""),"지브롤터")</f>
        <v>지브롤터</v>
      </c>
      <c r="R84" s="14" t="str">
        <f ca="1">IFERROR(__xludf.DUMMYFUNCTION("""COMPUTED_VALUE"""),"Gibraltar")</f>
        <v>Gibraltar</v>
      </c>
      <c r="S84" s="14" t="str">
        <f ca="1">IFERROR(__xludf.DUMMYFUNCTION("""COMPUTED_VALUE"""),"Gibraltar")</f>
        <v>Gibraltar</v>
      </c>
      <c r="T84" s="14" t="str">
        <f ca="1">IFERROR(__xludf.DUMMYFUNCTION("""COMPUTED_VALUE"""),"Gibraltar")</f>
        <v>Gibraltar</v>
      </c>
      <c r="U84" s="14" t="str">
        <f ca="1">IFERROR(__xludf.DUMMYFUNCTION("""COMPUTED_VALUE"""),"Gibraltar")</f>
        <v>Gibraltar</v>
      </c>
      <c r="V84" s="14" t="str">
        <f ca="1">IFERROR(__xludf.DUMMYFUNCTION("""COMPUTED_VALUE"""),"Гибралтар")</f>
        <v>Гибралтар</v>
      </c>
      <c r="W84" s="14" t="str">
        <f ca="1">IFERROR(__xludf.DUMMYFUNCTION("""COMPUTED_VALUE"""),"Gibraltar")</f>
        <v>Gibraltar</v>
      </c>
      <c r="X84" s="14" t="str">
        <f ca="1">IFERROR(__xludf.DUMMYFUNCTION("""COMPUTED_VALUE"""),"Gibraltar")</f>
        <v>Gibraltar</v>
      </c>
      <c r="Y84" s="14" t="str">
        <f ca="1">IFERROR(__xludf.DUMMYFUNCTION("""COMPUTED_VALUE"""),"Gibraltár")</f>
        <v>Gibraltár</v>
      </c>
      <c r="Z84" s="14" t="str">
        <f ca="1">IFERROR(__xludf.DUMMYFUNCTION("""COMPUTED_VALUE"""),"ยิบรอลตาร์")</f>
        <v>ยิบรอลตาร์</v>
      </c>
      <c r="AA84" s="14" t="str">
        <f ca="1">IFERROR(__xludf.DUMMYFUNCTION("""COMPUTED_VALUE"""),"Cebelitarık")</f>
        <v>Cebelitarık</v>
      </c>
      <c r="AB84" s="14" t="str">
        <f ca="1">IFERROR(__xludf.DUMMYFUNCTION("""COMPUTED_VALUE"""),"CEBELİTARIK")</f>
        <v>CEBELİTARIK</v>
      </c>
      <c r="AC84" s="14" t="str">
        <f ca="1">IFERROR(__xludf.DUMMYFUNCTION("""COMPUTED_VALUE"""),"Гібралтар")</f>
        <v>Гібралтар</v>
      </c>
      <c r="AD84" s="14" t="str">
        <f ca="1">IFERROR(__xludf.DUMMYFUNCTION("""COMPUTED_VALUE"""),"Gibraltar")</f>
        <v>Gibraltar</v>
      </c>
      <c r="AE84" s="14" t="str">
        <f ca="1">IFERROR(__xludf.DUMMYFUNCTION("""COMPUTED_VALUE"""),"Гибралтар")</f>
        <v>Гибралтар</v>
      </c>
      <c r="AF84" s="14"/>
    </row>
    <row r="85" spans="1:32" ht="13" x14ac:dyDescent="0.15">
      <c r="A85" s="14" t="str">
        <f ca="1">IFERROR(__xludf.DUMMYFUNCTION("""COMPUTED_VALUE"""),"GL")</f>
        <v>GL</v>
      </c>
      <c r="B85" s="14" t="str">
        <f ca="1">IFERROR(__xludf.DUMMYFUNCTION("""COMPUTED_VALUE"""),"Greenland")</f>
        <v>Greenland</v>
      </c>
      <c r="C85" s="14" t="str">
        <f ca="1">IFERROR(__xludf.DUMMYFUNCTION("""COMPUTED_VALUE"""),"جرينلاند")</f>
        <v>جرينلاند</v>
      </c>
      <c r="D85" s="14" t="str">
        <f ca="1">IFERROR(__xludf.DUMMYFUNCTION("""COMPUTED_VALUE"""),"Гренландия")</f>
        <v>Гренландия</v>
      </c>
      <c r="E85" s="14" t="str">
        <f ca="1">IFERROR(__xludf.DUMMYFUNCTION("""COMPUTED_VALUE"""),"Groenlândia")</f>
        <v>Groenlândia</v>
      </c>
      <c r="F85" s="14" t="str">
        <f ca="1">IFERROR(__xludf.DUMMYFUNCTION("""COMPUTED_VALUE"""),"Грэнландыя")</f>
        <v>Грэнландыя</v>
      </c>
      <c r="G85" s="14" t="str">
        <f ca="1">IFERROR(__xludf.DUMMYFUNCTION("""COMPUTED_VALUE"""),"Grónsko")</f>
        <v>Grónsko</v>
      </c>
      <c r="H85" s="14" t="str">
        <f ca="1">IFERROR(__xludf.DUMMYFUNCTION("""COMPUTED_VALUE"""),"Grönland")</f>
        <v>Grönland</v>
      </c>
      <c r="I85" s="14" t="str">
        <f ca="1">IFERROR(__xludf.DUMMYFUNCTION("""COMPUTED_VALUE"""),"Groenlandia")</f>
        <v>Groenlandia</v>
      </c>
      <c r="J85" s="14" t="str">
        <f ca="1">IFERROR(__xludf.DUMMYFUNCTION("""COMPUTED_VALUE"""),"Grönlanti")</f>
        <v>Grönlanti</v>
      </c>
      <c r="K85" s="14" t="str">
        <f ca="1">IFERROR(__xludf.DUMMYFUNCTION("""COMPUTED_VALUE"""),"Γροιλανδία")</f>
        <v>Γροιλανδία</v>
      </c>
      <c r="L85" s="14" t="str">
        <f ca="1">IFERROR(__xludf.DUMMYFUNCTION("""COMPUTED_VALUE"""),"ΓΡΟΙΛΑΝΔΙΑ")</f>
        <v>ΓΡΟΙΛΑΝΔΙΑ</v>
      </c>
      <c r="M85" s="14" t="str">
        <f ca="1">IFERROR(__xludf.DUMMYFUNCTION("""COMPUTED_VALUE"""),"Grenland")</f>
        <v>Grenland</v>
      </c>
      <c r="N85" s="14" t="str">
        <f ca="1">IFERROR(__xludf.DUMMYFUNCTION("""COMPUTED_VALUE"""),"Grönland")</f>
        <v>Grönland</v>
      </c>
      <c r="O85" s="14" t="str">
        <f ca="1">IFERROR(__xludf.DUMMYFUNCTION("""COMPUTED_VALUE"""),"Greenland")</f>
        <v>Greenland</v>
      </c>
      <c r="P85" s="14" t="str">
        <f ca="1">IFERROR(__xludf.DUMMYFUNCTION("""COMPUTED_VALUE"""),"Groenlandia")</f>
        <v>Groenlandia</v>
      </c>
      <c r="Q85" s="14" t="str">
        <f ca="1">IFERROR(__xludf.DUMMYFUNCTION("""COMPUTED_VALUE"""),"그린란드")</f>
        <v>그린란드</v>
      </c>
      <c r="R85" s="14" t="str">
        <f ca="1">IFERROR(__xludf.DUMMYFUNCTION("""COMPUTED_VALUE"""),"Grenlandia")</f>
        <v>Grenlandia</v>
      </c>
      <c r="S85" s="14" t="str">
        <f ca="1">IFERROR(__xludf.DUMMYFUNCTION("""COMPUTED_VALUE"""),"Groenlândia")</f>
        <v>Groenlândia</v>
      </c>
      <c r="T85" s="14" t="str">
        <f ca="1">IFERROR(__xludf.DUMMYFUNCTION("""COMPUTED_VALUE"""),"Groenlanda")</f>
        <v>Groenlanda</v>
      </c>
      <c r="U85" s="14" t="str">
        <f ca="1">IFERROR(__xludf.DUMMYFUNCTION("""COMPUTED_VALUE"""),"Grenland")</f>
        <v>Grenland</v>
      </c>
      <c r="V85" s="14" t="str">
        <f ca="1">IFERROR(__xludf.DUMMYFUNCTION("""COMPUTED_VALUE"""),"Гренландия")</f>
        <v>Гренландия</v>
      </c>
      <c r="W85" s="14" t="str">
        <f ca="1">IFERROR(__xludf.DUMMYFUNCTION("""COMPUTED_VALUE"""),"Grönland")</f>
        <v>Grönland</v>
      </c>
      <c r="X85" s="14" t="str">
        <f ca="1">IFERROR(__xludf.DUMMYFUNCTION("""COMPUTED_VALUE"""),"Grenlandija")</f>
        <v>Grenlandija</v>
      </c>
      <c r="Y85" s="14" t="str">
        <f ca="1">IFERROR(__xludf.DUMMYFUNCTION("""COMPUTED_VALUE"""),"Grónsko")</f>
        <v>Grónsko</v>
      </c>
      <c r="Z85" s="14" t="str">
        <f ca="1">IFERROR(__xludf.DUMMYFUNCTION("""COMPUTED_VALUE"""),"กรีนแลนด์")</f>
        <v>กรีนแลนด์</v>
      </c>
      <c r="AA85" s="14" t="str">
        <f ca="1">IFERROR(__xludf.DUMMYFUNCTION("""COMPUTED_VALUE"""),"Grönland")</f>
        <v>Grönland</v>
      </c>
      <c r="AB85" s="14" t="str">
        <f ca="1">IFERROR(__xludf.DUMMYFUNCTION("""COMPUTED_VALUE"""),"GRÖNLAND")</f>
        <v>GRÖNLAND</v>
      </c>
      <c r="AC85" s="14" t="str">
        <f ca="1">IFERROR(__xludf.DUMMYFUNCTION("""COMPUTED_VALUE"""),"Ґренландія")</f>
        <v>Ґренландія</v>
      </c>
      <c r="AD85" s="14" t="str">
        <f ca="1">IFERROR(__xludf.DUMMYFUNCTION("""COMPUTED_VALUE"""),"Greenland")</f>
        <v>Greenland</v>
      </c>
      <c r="AE85" s="14" t="str">
        <f ca="1">IFERROR(__xludf.DUMMYFUNCTION("""COMPUTED_VALUE"""),"Гренландия")</f>
        <v>Гренландия</v>
      </c>
      <c r="AF85" s="14"/>
    </row>
    <row r="86" spans="1:32" ht="13" x14ac:dyDescent="0.15">
      <c r="A86" s="14" t="str">
        <f ca="1">IFERROR(__xludf.DUMMYFUNCTION("""COMPUTED_VALUE"""),"GM")</f>
        <v>GM</v>
      </c>
      <c r="B86" s="14" t="str">
        <f ca="1">IFERROR(__xludf.DUMMYFUNCTION("""COMPUTED_VALUE"""),"Gambia")</f>
        <v>Gambia</v>
      </c>
      <c r="C86" s="14" t="str">
        <f ca="1">IFERROR(__xludf.DUMMYFUNCTION("""COMPUTED_VALUE"""),"غامبيا")</f>
        <v>غامبيا</v>
      </c>
      <c r="D86" s="14" t="str">
        <f ca="1">IFERROR(__xludf.DUMMYFUNCTION("""COMPUTED_VALUE"""),"Гамбия")</f>
        <v>Гамбия</v>
      </c>
      <c r="E86" s="14" t="str">
        <f ca="1">IFERROR(__xludf.DUMMYFUNCTION("""COMPUTED_VALUE"""),"Gâmbia")</f>
        <v>Gâmbia</v>
      </c>
      <c r="F86" s="14" t="str">
        <f ca="1">IFERROR(__xludf.DUMMYFUNCTION("""COMPUTED_VALUE"""),"Гамбія")</f>
        <v>Гамбія</v>
      </c>
      <c r="G86" s="14" t="str">
        <f ca="1">IFERROR(__xludf.DUMMYFUNCTION("""COMPUTED_VALUE"""),"Gambie")</f>
        <v>Gambie</v>
      </c>
      <c r="H86" s="14" t="str">
        <f ca="1">IFERROR(__xludf.DUMMYFUNCTION("""COMPUTED_VALUE"""),"Gambia")</f>
        <v>Gambia</v>
      </c>
      <c r="I86" s="14" t="str">
        <f ca="1">IFERROR(__xludf.DUMMYFUNCTION("""COMPUTED_VALUE"""),"Gambia (la)")</f>
        <v>Gambia (la)</v>
      </c>
      <c r="J86" s="14" t="str">
        <f ca="1">IFERROR(__xludf.DUMMYFUNCTION("""COMPUTED_VALUE"""),"Gambia")</f>
        <v>Gambia</v>
      </c>
      <c r="K86" s="14" t="str">
        <f ca="1">IFERROR(__xludf.DUMMYFUNCTION("""COMPUTED_VALUE"""),"Γκάμπια")</f>
        <v>Γκάμπια</v>
      </c>
      <c r="L86" s="14" t="str">
        <f ca="1">IFERROR(__xludf.DUMMYFUNCTION("""COMPUTED_VALUE"""),"ΓΚΑΜΠΙΑ")</f>
        <v>ΓΚΑΜΠΙΑ</v>
      </c>
      <c r="M86" s="14" t="str">
        <f ca="1">IFERROR(__xludf.DUMMYFUNCTION("""COMPUTED_VALUE"""),"Gambija")</f>
        <v>Gambija</v>
      </c>
      <c r="N86" s="14" t="str">
        <f ca="1">IFERROR(__xludf.DUMMYFUNCTION("""COMPUTED_VALUE"""),"Gambia")</f>
        <v>Gambia</v>
      </c>
      <c r="O86" s="14" t="str">
        <f ca="1">IFERROR(__xludf.DUMMYFUNCTION("""COMPUTED_VALUE"""),"Gambia")</f>
        <v>Gambia</v>
      </c>
      <c r="P86" s="14" t="str">
        <f ca="1">IFERROR(__xludf.DUMMYFUNCTION("""COMPUTED_VALUE"""),"Gambia")</f>
        <v>Gambia</v>
      </c>
      <c r="Q86" s="14" t="str">
        <f ca="1">IFERROR(__xludf.DUMMYFUNCTION("""COMPUTED_VALUE"""),"감비아")</f>
        <v>감비아</v>
      </c>
      <c r="R86" s="14" t="str">
        <f ca="1">IFERROR(__xludf.DUMMYFUNCTION("""COMPUTED_VALUE"""),"Gambia")</f>
        <v>Gambia</v>
      </c>
      <c r="S86" s="14" t="str">
        <f ca="1">IFERROR(__xludf.DUMMYFUNCTION("""COMPUTED_VALUE"""),"Gâmbia")</f>
        <v>Gâmbia</v>
      </c>
      <c r="T86" s="14" t="str">
        <f ca="1">IFERROR(__xludf.DUMMYFUNCTION("""COMPUTED_VALUE"""),"Gambia")</f>
        <v>Gambia</v>
      </c>
      <c r="U86" s="14" t="str">
        <f ca="1">IFERROR(__xludf.DUMMYFUNCTION("""COMPUTED_VALUE"""),"Gambija")</f>
        <v>Gambija</v>
      </c>
      <c r="V86" s="14" t="str">
        <f ca="1">IFERROR(__xludf.DUMMYFUNCTION("""COMPUTED_VALUE"""),"Гамбия")</f>
        <v>Гамбия</v>
      </c>
      <c r="W86" s="14" t="str">
        <f ca="1">IFERROR(__xludf.DUMMYFUNCTION("""COMPUTED_VALUE"""),"Gambia")</f>
        <v>Gambia</v>
      </c>
      <c r="X86" s="14" t="str">
        <f ca="1">IFERROR(__xludf.DUMMYFUNCTION("""COMPUTED_VALUE"""),"Gambija")</f>
        <v>Gambija</v>
      </c>
      <c r="Y86" s="14" t="str">
        <f ca="1">IFERROR(__xludf.DUMMYFUNCTION("""COMPUTED_VALUE"""),"Gambia")</f>
        <v>Gambia</v>
      </c>
      <c r="Z86" s="14" t="str">
        <f ca="1">IFERROR(__xludf.DUMMYFUNCTION("""COMPUTED_VALUE"""),"แกมเบีย")</f>
        <v>แกมเบีย</v>
      </c>
      <c r="AA86" s="14" t="str">
        <f ca="1">IFERROR(__xludf.DUMMYFUNCTION("""COMPUTED_VALUE"""),"Gambiya")</f>
        <v>Gambiya</v>
      </c>
      <c r="AB86" s="14" t="str">
        <f ca="1">IFERROR(__xludf.DUMMYFUNCTION("""COMPUTED_VALUE"""),"GAMBİYA")</f>
        <v>GAMBİYA</v>
      </c>
      <c r="AC86" s="14" t="str">
        <f ca="1">IFERROR(__xludf.DUMMYFUNCTION("""COMPUTED_VALUE"""),"Гамбія")</f>
        <v>Гамбія</v>
      </c>
      <c r="AD86" s="14" t="str">
        <f ca="1">IFERROR(__xludf.DUMMYFUNCTION("""COMPUTED_VALUE"""),"Gambia")</f>
        <v>Gambia</v>
      </c>
      <c r="AE86" s="14" t="str">
        <f ca="1">IFERROR(__xludf.DUMMYFUNCTION("""COMPUTED_VALUE"""),"Гамбия")</f>
        <v>Гамбия</v>
      </c>
      <c r="AF86" s="14"/>
    </row>
    <row r="87" spans="1:32" ht="13" x14ac:dyDescent="0.15">
      <c r="A87" s="14" t="str">
        <f ca="1">IFERROR(__xludf.DUMMYFUNCTION("""COMPUTED_VALUE"""),"GN")</f>
        <v>GN</v>
      </c>
      <c r="B87" s="14" t="str">
        <f ca="1">IFERROR(__xludf.DUMMYFUNCTION("""COMPUTED_VALUE"""),"Guinea")</f>
        <v>Guinea</v>
      </c>
      <c r="C87" s="14" t="str">
        <f ca="1">IFERROR(__xludf.DUMMYFUNCTION("""COMPUTED_VALUE"""),"غينيا")</f>
        <v>غينيا</v>
      </c>
      <c r="D87" s="14" t="str">
        <f ca="1">IFERROR(__xludf.DUMMYFUNCTION("""COMPUTED_VALUE"""),"Гвинея")</f>
        <v>Гвинея</v>
      </c>
      <c r="E87" s="14" t="str">
        <f ca="1">IFERROR(__xludf.DUMMYFUNCTION("""COMPUTED_VALUE"""),"Guiné-Conacri")</f>
        <v>Guiné-Conacri</v>
      </c>
      <c r="F87" s="14" t="str">
        <f ca="1">IFERROR(__xludf.DUMMYFUNCTION("""COMPUTED_VALUE"""),"Гвінея")</f>
        <v>Гвінея</v>
      </c>
      <c r="G87" s="14" t="str">
        <f ca="1">IFERROR(__xludf.DUMMYFUNCTION("""COMPUTED_VALUE"""),"Guinea")</f>
        <v>Guinea</v>
      </c>
      <c r="H87" s="14" t="str">
        <f ca="1">IFERROR(__xludf.DUMMYFUNCTION("""COMPUTED_VALUE"""),"Guinea")</f>
        <v>Guinea</v>
      </c>
      <c r="I87" s="14" t="str">
        <f ca="1">IFERROR(__xludf.DUMMYFUNCTION("""COMPUTED_VALUE"""),"Guinea")</f>
        <v>Guinea</v>
      </c>
      <c r="J87" s="14" t="str">
        <f ca="1">IFERROR(__xludf.DUMMYFUNCTION("""COMPUTED_VALUE"""),"Guinea")</f>
        <v>Guinea</v>
      </c>
      <c r="K87" s="14" t="str">
        <f ca="1">IFERROR(__xludf.DUMMYFUNCTION("""COMPUTED_VALUE"""),"Γουινέα")</f>
        <v>Γουινέα</v>
      </c>
      <c r="L87" s="14" t="str">
        <f ca="1">IFERROR(__xludf.DUMMYFUNCTION("""COMPUTED_VALUE"""),"ΓΟΥΙΝΕΑ")</f>
        <v>ΓΟΥΙΝΕΑ</v>
      </c>
      <c r="M87" s="14" t="str">
        <f ca="1">IFERROR(__xludf.DUMMYFUNCTION("""COMPUTED_VALUE"""),"Gvineja")</f>
        <v>Gvineja</v>
      </c>
      <c r="N87" s="14" t="str">
        <f ca="1">IFERROR(__xludf.DUMMYFUNCTION("""COMPUTED_VALUE"""),"Guinea")</f>
        <v>Guinea</v>
      </c>
      <c r="O87" s="14" t="str">
        <f ca="1">IFERROR(__xludf.DUMMYFUNCTION("""COMPUTED_VALUE"""),"Guinea")</f>
        <v>Guinea</v>
      </c>
      <c r="P87" s="14" t="str">
        <f ca="1">IFERROR(__xludf.DUMMYFUNCTION("""COMPUTED_VALUE"""),"Guinea")</f>
        <v>Guinea</v>
      </c>
      <c r="Q87" s="14" t="str">
        <f ca="1">IFERROR(__xludf.DUMMYFUNCTION("""COMPUTED_VALUE"""),"기니")</f>
        <v>기니</v>
      </c>
      <c r="R87" s="14" t="str">
        <f ca="1">IFERROR(__xludf.DUMMYFUNCTION("""COMPUTED_VALUE"""),"Gwinea")</f>
        <v>Gwinea</v>
      </c>
      <c r="S87" s="14" t="str">
        <f ca="1">IFERROR(__xludf.DUMMYFUNCTION("""COMPUTED_VALUE"""),"Guiné-Conacri")</f>
        <v>Guiné-Conacri</v>
      </c>
      <c r="T87" s="14" t="str">
        <f ca="1">IFERROR(__xludf.DUMMYFUNCTION("""COMPUTED_VALUE"""),"Guineea")</f>
        <v>Guineea</v>
      </c>
      <c r="U87" s="14" t="str">
        <f ca="1">IFERROR(__xludf.DUMMYFUNCTION("""COMPUTED_VALUE"""),"Gvineja")</f>
        <v>Gvineja</v>
      </c>
      <c r="V87" s="14" t="str">
        <f ca="1">IFERROR(__xludf.DUMMYFUNCTION("""COMPUTED_VALUE"""),"Гвинея")</f>
        <v>Гвинея</v>
      </c>
      <c r="W87" s="14" t="str">
        <f ca="1">IFERROR(__xludf.DUMMYFUNCTION("""COMPUTED_VALUE"""),"Guinea")</f>
        <v>Guinea</v>
      </c>
      <c r="X87" s="14" t="str">
        <f ca="1">IFERROR(__xludf.DUMMYFUNCTION("""COMPUTED_VALUE"""),"Gvineja")</f>
        <v>Gvineja</v>
      </c>
      <c r="Y87" s="14" t="str">
        <f ca="1">IFERROR(__xludf.DUMMYFUNCTION("""COMPUTED_VALUE"""),"Guinea")</f>
        <v>Guinea</v>
      </c>
      <c r="Z87" s="14" t="str">
        <f ca="1">IFERROR(__xludf.DUMMYFUNCTION("""COMPUTED_VALUE"""),"กินี")</f>
        <v>กินี</v>
      </c>
      <c r="AA87" s="14" t="str">
        <f ca="1">IFERROR(__xludf.DUMMYFUNCTION("""COMPUTED_VALUE"""),"Gine")</f>
        <v>Gine</v>
      </c>
      <c r="AB87" s="14" t="str">
        <f ca="1">IFERROR(__xludf.DUMMYFUNCTION("""COMPUTED_VALUE"""),"GİNE")</f>
        <v>GİNE</v>
      </c>
      <c r="AC87" s="14" t="str">
        <f ca="1">IFERROR(__xludf.DUMMYFUNCTION("""COMPUTED_VALUE"""),"Гвінея")</f>
        <v>Гвінея</v>
      </c>
      <c r="AD87" s="14" t="str">
        <f ca="1">IFERROR(__xludf.DUMMYFUNCTION("""COMPUTED_VALUE"""),"Guinée")</f>
        <v>Guinée</v>
      </c>
      <c r="AE87" s="14" t="str">
        <f ca="1">IFERROR(__xludf.DUMMYFUNCTION("""COMPUTED_VALUE"""),"Гвинея")</f>
        <v>Гвинея</v>
      </c>
      <c r="AF87" s="14"/>
    </row>
    <row r="88" spans="1:32" ht="13" x14ac:dyDescent="0.15">
      <c r="A88" s="14" t="str">
        <f ca="1">IFERROR(__xludf.DUMMYFUNCTION("""COMPUTED_VALUE"""),"GP")</f>
        <v>GP</v>
      </c>
      <c r="B88" s="14" t="str">
        <f ca="1">IFERROR(__xludf.DUMMYFUNCTION("""COMPUTED_VALUE"""),"Guadeloupe")</f>
        <v>Guadeloupe</v>
      </c>
      <c r="C88" s="14" t="str">
        <f ca="1">IFERROR(__xludf.DUMMYFUNCTION("""COMPUTED_VALUE"""),"جوادلوب")</f>
        <v>جوادلوب</v>
      </c>
      <c r="D88" s="14" t="str">
        <f ca="1">IFERROR(__xludf.DUMMYFUNCTION("""COMPUTED_VALUE"""),"Гваделупа")</f>
        <v>Гваделупа</v>
      </c>
      <c r="E88" s="14" t="str">
        <f ca="1">IFERROR(__xludf.DUMMYFUNCTION("""COMPUTED_VALUE"""),"Guadalupe")</f>
        <v>Guadalupe</v>
      </c>
      <c r="F88" s="14" t="str">
        <f ca="1">IFERROR(__xludf.DUMMYFUNCTION("""COMPUTED_VALUE"""),"Гвадэлупа")</f>
        <v>Гвадэлупа</v>
      </c>
      <c r="G88" s="14" t="str">
        <f ca="1">IFERROR(__xludf.DUMMYFUNCTION("""COMPUTED_VALUE"""),"Guadeloupe")</f>
        <v>Guadeloupe</v>
      </c>
      <c r="H88" s="14" t="str">
        <f ca="1">IFERROR(__xludf.DUMMYFUNCTION("""COMPUTED_VALUE"""),"Guadeloupe")</f>
        <v>Guadeloupe</v>
      </c>
      <c r="I88" s="14" t="str">
        <f ca="1">IFERROR(__xludf.DUMMYFUNCTION("""COMPUTED_VALUE"""),"Guadeloupe")</f>
        <v>Guadeloupe</v>
      </c>
      <c r="J88" s="14" t="str">
        <f ca="1">IFERROR(__xludf.DUMMYFUNCTION("""COMPUTED_VALUE"""),"Guadeloupe")</f>
        <v>Guadeloupe</v>
      </c>
      <c r="K88" s="14" t="str">
        <f ca="1">IFERROR(__xludf.DUMMYFUNCTION("""COMPUTED_VALUE"""),"Γουαδελούπη")</f>
        <v>Γουαδελούπη</v>
      </c>
      <c r="L88" s="14" t="str">
        <f ca="1">IFERROR(__xludf.DUMMYFUNCTION("""COMPUTED_VALUE"""),"ΓΟΥΑΔΕΛΟΥΠΗ")</f>
        <v>ΓΟΥΑΔΕΛΟΥΠΗ</v>
      </c>
      <c r="M88" s="14" t="str">
        <f ca="1">IFERROR(__xludf.DUMMYFUNCTION("""COMPUTED_VALUE"""),"Guadeloupe")</f>
        <v>Guadeloupe</v>
      </c>
      <c r="N88" s="14" t="str">
        <f ca="1">IFERROR(__xludf.DUMMYFUNCTION("""COMPUTED_VALUE"""),"Guadeloupe")</f>
        <v>Guadeloupe</v>
      </c>
      <c r="O88" s="14" t="str">
        <f ca="1">IFERROR(__xludf.DUMMYFUNCTION("""COMPUTED_VALUE"""),"Guadeloupe")</f>
        <v>Guadeloupe</v>
      </c>
      <c r="P88" s="14" t="str">
        <f ca="1">IFERROR(__xludf.DUMMYFUNCTION("""COMPUTED_VALUE"""),"Guadalupa")</f>
        <v>Guadalupa</v>
      </c>
      <c r="Q88" s="14" t="str">
        <f ca="1">IFERROR(__xludf.DUMMYFUNCTION("""COMPUTED_VALUE"""),"과들루프")</f>
        <v>과들루프</v>
      </c>
      <c r="R88" s="14" t="str">
        <f ca="1">IFERROR(__xludf.DUMMYFUNCTION("""COMPUTED_VALUE"""),"Gwadelupa")</f>
        <v>Gwadelupa</v>
      </c>
      <c r="S88" s="14" t="str">
        <f ca="1">IFERROR(__xludf.DUMMYFUNCTION("""COMPUTED_VALUE"""),"Guadalupe")</f>
        <v>Guadalupe</v>
      </c>
      <c r="T88" s="14" t="str">
        <f ca="1">IFERROR(__xludf.DUMMYFUNCTION("""COMPUTED_VALUE"""),"Guadelupa")</f>
        <v>Guadelupa</v>
      </c>
      <c r="U88" s="14" t="str">
        <f ca="1">IFERROR(__xludf.DUMMYFUNCTION("""COMPUTED_VALUE"""),"Gvadelup")</f>
        <v>Gvadelup</v>
      </c>
      <c r="V88" s="14" t="str">
        <f ca="1">IFERROR(__xludf.DUMMYFUNCTION("""COMPUTED_VALUE"""),"Гваделупа")</f>
        <v>Гваделупа</v>
      </c>
      <c r="W88" s="14" t="str">
        <f ca="1">IFERROR(__xludf.DUMMYFUNCTION("""COMPUTED_VALUE"""),"Guadeloupe")</f>
        <v>Guadeloupe</v>
      </c>
      <c r="X88" s="14" t="str">
        <f ca="1">IFERROR(__xludf.DUMMYFUNCTION("""COMPUTED_VALUE"""),"Guadeloupe")</f>
        <v>Guadeloupe</v>
      </c>
      <c r="Y88" s="14" t="str">
        <f ca="1">IFERROR(__xludf.DUMMYFUNCTION("""COMPUTED_VALUE"""),"Guadeloupe")</f>
        <v>Guadeloupe</v>
      </c>
      <c r="Z88" s="14" t="str">
        <f ca="1">IFERROR(__xludf.DUMMYFUNCTION("""COMPUTED_VALUE"""),"กัวเดอลุป")</f>
        <v>กัวเดอลุป</v>
      </c>
      <c r="AA88" s="14" t="str">
        <f ca="1">IFERROR(__xludf.DUMMYFUNCTION("""COMPUTED_VALUE"""),"Guadeloupe")</f>
        <v>Guadeloupe</v>
      </c>
      <c r="AB88" s="14" t="str">
        <f ca="1">IFERROR(__xludf.DUMMYFUNCTION("""COMPUTED_VALUE"""),"GUADELOUPE")</f>
        <v>GUADELOUPE</v>
      </c>
      <c r="AC88" s="14" t="str">
        <f ca="1">IFERROR(__xludf.DUMMYFUNCTION("""COMPUTED_VALUE"""),"Гваделупа")</f>
        <v>Гваделупа</v>
      </c>
      <c r="AD88" s="14" t="str">
        <f ca="1">IFERROR(__xludf.DUMMYFUNCTION("""COMPUTED_VALUE"""),"Guadeloupe")</f>
        <v>Guadeloupe</v>
      </c>
      <c r="AE88" s="14" t="str">
        <f ca="1">IFERROR(__xludf.DUMMYFUNCTION("""COMPUTED_VALUE"""),"Гваделупа")</f>
        <v>Гваделупа</v>
      </c>
      <c r="AF88" s="14"/>
    </row>
    <row r="89" spans="1:32" ht="13" x14ac:dyDescent="0.15">
      <c r="A89" s="14" t="str">
        <f ca="1">IFERROR(__xludf.DUMMYFUNCTION("""COMPUTED_VALUE"""),"GQ")</f>
        <v>GQ</v>
      </c>
      <c r="B89" s="14" t="str">
        <f ca="1">IFERROR(__xludf.DUMMYFUNCTION("""COMPUTED_VALUE"""),"Equatorial Guinea")</f>
        <v>Equatorial Guinea</v>
      </c>
      <c r="C89" s="14" t="str">
        <f ca="1">IFERROR(__xludf.DUMMYFUNCTION("""COMPUTED_VALUE"""),"غينيا الاستوائية")</f>
        <v>غينيا الاستوائية</v>
      </c>
      <c r="D89" s="14" t="str">
        <f ca="1">IFERROR(__xludf.DUMMYFUNCTION("""COMPUTED_VALUE"""),"Екваториална Гвинея")</f>
        <v>Екваториална Гвинея</v>
      </c>
      <c r="E89" s="14" t="str">
        <f ca="1">IFERROR(__xludf.DUMMYFUNCTION("""COMPUTED_VALUE"""),"Guiné Equatorial")</f>
        <v>Guiné Equatorial</v>
      </c>
      <c r="F89" s="14" t="str">
        <f ca="1">IFERROR(__xludf.DUMMYFUNCTION("""COMPUTED_VALUE"""),"Экватарыяльная Гвінея")</f>
        <v>Экватарыяльная Гвінея</v>
      </c>
      <c r="G89" s="14" t="str">
        <f ca="1">IFERROR(__xludf.DUMMYFUNCTION("""COMPUTED_VALUE"""),"Rovníková Guinea")</f>
        <v>Rovníková Guinea</v>
      </c>
      <c r="H89" s="14" t="str">
        <f ca="1">IFERROR(__xludf.DUMMYFUNCTION("""COMPUTED_VALUE"""),"Äquatorialguinea")</f>
        <v>Äquatorialguinea</v>
      </c>
      <c r="I89" s="14" t="str">
        <f ca="1">IFERROR(__xludf.DUMMYFUNCTION("""COMPUTED_VALUE"""),"Guinea Ecuatorial")</f>
        <v>Guinea Ecuatorial</v>
      </c>
      <c r="J89" s="14" t="str">
        <f ca="1">IFERROR(__xludf.DUMMYFUNCTION("""COMPUTED_VALUE"""),"Päiväntasaajan Guinea")</f>
        <v>Päiväntasaajan Guinea</v>
      </c>
      <c r="K89" s="14" t="str">
        <f ca="1">IFERROR(__xludf.DUMMYFUNCTION("""COMPUTED_VALUE"""),"Ισημερινή Γουινέα")</f>
        <v>Ισημερινή Γουινέα</v>
      </c>
      <c r="L89" s="14" t="str">
        <f ca="1">IFERROR(__xludf.DUMMYFUNCTION("""COMPUTED_VALUE"""),"ΙΣΗΜΕΡΙΝΗ ΓΟΥΙΝΕΑ")</f>
        <v>ΙΣΗΜΕΡΙΝΗ ΓΟΥΙΝΕΑ</v>
      </c>
      <c r="M89" s="14" t="str">
        <f ca="1">IFERROR(__xludf.DUMMYFUNCTION("""COMPUTED_VALUE"""),"Ekvatorska Gvineja")</f>
        <v>Ekvatorska Gvineja</v>
      </c>
      <c r="N89" s="14" t="str">
        <f ca="1">IFERROR(__xludf.DUMMYFUNCTION("""COMPUTED_VALUE"""),"Egyenlítői-Guinea")</f>
        <v>Egyenlítői-Guinea</v>
      </c>
      <c r="O89" s="14" t="str">
        <f ca="1">IFERROR(__xludf.DUMMYFUNCTION("""COMPUTED_VALUE"""),"Guinea Khatulistiwa")</f>
        <v>Guinea Khatulistiwa</v>
      </c>
      <c r="P89" s="14" t="str">
        <f ca="1">IFERROR(__xludf.DUMMYFUNCTION("""COMPUTED_VALUE"""),"Guinea Equatoriale")</f>
        <v>Guinea Equatoriale</v>
      </c>
      <c r="Q89" s="14" t="str">
        <f ca="1">IFERROR(__xludf.DUMMYFUNCTION("""COMPUTED_VALUE"""),"적도 기니")</f>
        <v>적도 기니</v>
      </c>
      <c r="R89" s="14" t="str">
        <f ca="1">IFERROR(__xludf.DUMMYFUNCTION("""COMPUTED_VALUE"""),"Gwinea Równikowa")</f>
        <v>Gwinea Równikowa</v>
      </c>
      <c r="S89" s="14" t="str">
        <f ca="1">IFERROR(__xludf.DUMMYFUNCTION("""COMPUTED_VALUE"""),"Guiné Equatorial")</f>
        <v>Guiné Equatorial</v>
      </c>
      <c r="T89" s="14" t="str">
        <f ca="1">IFERROR(__xludf.DUMMYFUNCTION("""COMPUTED_VALUE"""),"Guineea Ecuatorială")</f>
        <v>Guineea Ecuatorială</v>
      </c>
      <c r="U89" s="14" t="str">
        <f ca="1">IFERROR(__xludf.DUMMYFUNCTION("""COMPUTED_VALUE"""),"Ekvatorijalna Gvineja")</f>
        <v>Ekvatorijalna Gvineja</v>
      </c>
      <c r="V89" s="14" t="str">
        <f ca="1">IFERROR(__xludf.DUMMYFUNCTION("""COMPUTED_VALUE"""),"Экваториальная Гвинея")</f>
        <v>Экваториальная Гвинея</v>
      </c>
      <c r="W89" s="14" t="str">
        <f ca="1">IFERROR(__xludf.DUMMYFUNCTION("""COMPUTED_VALUE"""),"Ekvatorialguinea")</f>
        <v>Ekvatorialguinea</v>
      </c>
      <c r="X89" s="14" t="str">
        <f ca="1">IFERROR(__xludf.DUMMYFUNCTION("""COMPUTED_VALUE"""),"Ekvatorialna Gvineja")</f>
        <v>Ekvatorialna Gvineja</v>
      </c>
      <c r="Y89" s="14" t="str">
        <f ca="1">IFERROR(__xludf.DUMMYFUNCTION("""COMPUTED_VALUE"""),"Rovníková Guinea")</f>
        <v>Rovníková Guinea</v>
      </c>
      <c r="Z89" s="14" t="str">
        <f ca="1">IFERROR(__xludf.DUMMYFUNCTION("""COMPUTED_VALUE"""),"อิเควทอเรียลกินี")</f>
        <v>อิเควทอเรียลกินี</v>
      </c>
      <c r="AA89" s="14" t="str">
        <f ca="1">IFERROR(__xludf.DUMMYFUNCTION("""COMPUTED_VALUE"""),"Ekvator Ginesi")</f>
        <v>Ekvator Ginesi</v>
      </c>
      <c r="AB89" s="14" t="str">
        <f ca="1">IFERROR(__xludf.DUMMYFUNCTION("""COMPUTED_VALUE"""),"EKVATOR GİNESİ")</f>
        <v>EKVATOR GİNESİ</v>
      </c>
      <c r="AC89" s="14" t="str">
        <f ca="1">IFERROR(__xludf.DUMMYFUNCTION("""COMPUTED_VALUE"""),"Екваторіальна Гвінея")</f>
        <v>Екваторіальна Гвінея</v>
      </c>
      <c r="AD89" s="14" t="str">
        <f ca="1">IFERROR(__xludf.DUMMYFUNCTION("""COMPUTED_VALUE"""),"Guinea Xích Đạo")</f>
        <v>Guinea Xích Đạo</v>
      </c>
      <c r="AE89" s="14" t="str">
        <f ca="1">IFERROR(__xludf.DUMMYFUNCTION("""COMPUTED_VALUE"""),"Экваторлық Гвинея")</f>
        <v>Экваторлық Гвинея</v>
      </c>
      <c r="AF89" s="14"/>
    </row>
    <row r="90" spans="1:32" ht="13" x14ac:dyDescent="0.15">
      <c r="A90" s="14" t="str">
        <f ca="1">IFERROR(__xludf.DUMMYFUNCTION("""COMPUTED_VALUE"""),"GR")</f>
        <v>GR</v>
      </c>
      <c r="B90" s="14" t="str">
        <f ca="1">IFERROR(__xludf.DUMMYFUNCTION("""COMPUTED_VALUE"""),"Greece")</f>
        <v>Greece</v>
      </c>
      <c r="C90" s="14" t="str">
        <f ca="1">IFERROR(__xludf.DUMMYFUNCTION("""COMPUTED_VALUE"""),"اليونان")</f>
        <v>اليونان</v>
      </c>
      <c r="D90" s="14" t="str">
        <f ca="1">IFERROR(__xludf.DUMMYFUNCTION("""COMPUTED_VALUE"""),"Гърция")</f>
        <v>Гърция</v>
      </c>
      <c r="E90" s="14" t="str">
        <f ca="1">IFERROR(__xludf.DUMMYFUNCTION("""COMPUTED_VALUE"""),"Grécia")</f>
        <v>Grécia</v>
      </c>
      <c r="F90" s="14" t="str">
        <f ca="1">IFERROR(__xludf.DUMMYFUNCTION("""COMPUTED_VALUE"""),"Грэцыя")</f>
        <v>Грэцыя</v>
      </c>
      <c r="G90" s="14" t="str">
        <f ca="1">IFERROR(__xludf.DUMMYFUNCTION("""COMPUTED_VALUE"""),"Řecko")</f>
        <v>Řecko</v>
      </c>
      <c r="H90" s="14" t="str">
        <f ca="1">IFERROR(__xludf.DUMMYFUNCTION("""COMPUTED_VALUE"""),"Griechenland")</f>
        <v>Griechenland</v>
      </c>
      <c r="I90" s="14" t="str">
        <f ca="1">IFERROR(__xludf.DUMMYFUNCTION("""COMPUTED_VALUE"""),"Grecia")</f>
        <v>Grecia</v>
      </c>
      <c r="J90" s="14" t="str">
        <f ca="1">IFERROR(__xludf.DUMMYFUNCTION("""COMPUTED_VALUE"""),"Kreikka")</f>
        <v>Kreikka</v>
      </c>
      <c r="K90" s="14" t="str">
        <f ca="1">IFERROR(__xludf.DUMMYFUNCTION("""COMPUTED_VALUE"""),"Ελλάδα")</f>
        <v>Ελλάδα</v>
      </c>
      <c r="L90" s="14" t="str">
        <f ca="1">IFERROR(__xludf.DUMMYFUNCTION("""COMPUTED_VALUE"""),"ΕΛΛΑΔΑ")</f>
        <v>ΕΛΛΑΔΑ</v>
      </c>
      <c r="M90" s="14" t="str">
        <f ca="1">IFERROR(__xludf.DUMMYFUNCTION("""COMPUTED_VALUE"""),"Grčka")</f>
        <v>Grčka</v>
      </c>
      <c r="N90" s="14" t="str">
        <f ca="1">IFERROR(__xludf.DUMMYFUNCTION("""COMPUTED_VALUE"""),"Görögország")</f>
        <v>Görögország</v>
      </c>
      <c r="O90" s="14" t="str">
        <f ca="1">IFERROR(__xludf.DUMMYFUNCTION("""COMPUTED_VALUE"""),"Yunani")</f>
        <v>Yunani</v>
      </c>
      <c r="P90" s="14" t="str">
        <f ca="1">IFERROR(__xludf.DUMMYFUNCTION("""COMPUTED_VALUE"""),"Grecia")</f>
        <v>Grecia</v>
      </c>
      <c r="Q90" s="14" t="str">
        <f ca="1">IFERROR(__xludf.DUMMYFUNCTION("""COMPUTED_VALUE"""),"그리스")</f>
        <v>그리스</v>
      </c>
      <c r="R90" s="14" t="str">
        <f ca="1">IFERROR(__xludf.DUMMYFUNCTION("""COMPUTED_VALUE"""),"Grecja")</f>
        <v>Grecja</v>
      </c>
      <c r="S90" s="14" t="str">
        <f ca="1">IFERROR(__xludf.DUMMYFUNCTION("""COMPUTED_VALUE"""),"Grécia")</f>
        <v>Grécia</v>
      </c>
      <c r="T90" s="14" t="str">
        <f ca="1">IFERROR(__xludf.DUMMYFUNCTION("""COMPUTED_VALUE"""),"Grecia")</f>
        <v>Grecia</v>
      </c>
      <c r="U90" s="14" t="str">
        <f ca="1">IFERROR(__xludf.DUMMYFUNCTION("""COMPUTED_VALUE"""),"Grčka")</f>
        <v>Grčka</v>
      </c>
      <c r="V90" s="14" t="str">
        <f ca="1">IFERROR(__xludf.DUMMYFUNCTION("""COMPUTED_VALUE"""),"Греция")</f>
        <v>Греция</v>
      </c>
      <c r="W90" s="14" t="str">
        <f ca="1">IFERROR(__xludf.DUMMYFUNCTION("""COMPUTED_VALUE"""),"Grekland")</f>
        <v>Grekland</v>
      </c>
      <c r="X90" s="14" t="str">
        <f ca="1">IFERROR(__xludf.DUMMYFUNCTION("""COMPUTED_VALUE"""),"Grčija")</f>
        <v>Grčija</v>
      </c>
      <c r="Y90" s="14" t="str">
        <f ca="1">IFERROR(__xludf.DUMMYFUNCTION("""COMPUTED_VALUE"""),"Grécko")</f>
        <v>Grécko</v>
      </c>
      <c r="Z90" s="14" t="str">
        <f ca="1">IFERROR(__xludf.DUMMYFUNCTION("""COMPUTED_VALUE"""),"กรีซ")</f>
        <v>กรีซ</v>
      </c>
      <c r="AA90" s="14" t="str">
        <f ca="1">IFERROR(__xludf.DUMMYFUNCTION("""COMPUTED_VALUE"""),"Yunanistan")</f>
        <v>Yunanistan</v>
      </c>
      <c r="AB90" s="14" t="str">
        <f ca="1">IFERROR(__xludf.DUMMYFUNCTION("""COMPUTED_VALUE"""),"YUNANİSTAN")</f>
        <v>YUNANİSTAN</v>
      </c>
      <c r="AC90" s="14" t="str">
        <f ca="1">IFERROR(__xludf.DUMMYFUNCTION("""COMPUTED_VALUE"""),"Греція")</f>
        <v>Греція</v>
      </c>
      <c r="AD90" s="14" t="str">
        <f ca="1">IFERROR(__xludf.DUMMYFUNCTION("""COMPUTED_VALUE"""),"Hy Lạp")</f>
        <v>Hy Lạp</v>
      </c>
      <c r="AE90" s="14" t="str">
        <f ca="1">IFERROR(__xludf.DUMMYFUNCTION("""COMPUTED_VALUE"""),"Грекия")</f>
        <v>Грекия</v>
      </c>
      <c r="AF90" s="14"/>
    </row>
    <row r="91" spans="1:32" ht="13" x14ac:dyDescent="0.15">
      <c r="A91" s="14" t="str">
        <f ca="1">IFERROR(__xludf.DUMMYFUNCTION("""COMPUTED_VALUE"""),"GS")</f>
        <v>GS</v>
      </c>
      <c r="B91" s="14" t="str">
        <f ca="1">IFERROR(__xludf.DUMMYFUNCTION("""COMPUTED_VALUE"""),"South Georgia and the South Sandwich Islands")</f>
        <v>South Georgia and the South Sandwich Islands</v>
      </c>
      <c r="C91" s="14" t="str">
        <f ca="1">IFERROR(__xludf.DUMMYFUNCTION("""COMPUTED_VALUE"""),"جورجيا الجنوبية وجزر ساندويتش الجنوبية")</f>
        <v>جورجيا الجنوبية وجزر ساندويتش الجنوبية</v>
      </c>
      <c r="D91" s="14" t="str">
        <f ca="1">IFERROR(__xludf.DUMMYFUNCTION("""COMPUTED_VALUE"""),"Южна Джорджия и Южни Сандвичеви острови")</f>
        <v>Южна Джорджия и Южни Сандвичеви острови</v>
      </c>
      <c r="E91" s="14" t="str">
        <f ca="1">IFERROR(__xludf.DUMMYFUNCTION("""COMPUTED_VALUE"""),"Geórgia do Sul e Sandwich do Sul, Ilhas")</f>
        <v>Geórgia do Sul e Sandwich do Sul, Ilhas</v>
      </c>
      <c r="F91" s="14" t="str">
        <f ca="1">IFERROR(__xludf.DUMMYFUNCTION("""COMPUTED_VALUE"""),"Паўднёвая Джорджыя і Паўднёвыя Сандвічавы астравы")</f>
        <v>Паўднёвая Джорджыя і Паўднёвыя Сандвічавы астравы</v>
      </c>
      <c r="G91" s="14" t="str">
        <f ca="1">IFERROR(__xludf.DUMMYFUNCTION("""COMPUTED_VALUE"""),"Jižní Georgie a Jižní Sandwichovy ostrovy")</f>
        <v>Jižní Georgie a Jižní Sandwichovy ostrovy</v>
      </c>
      <c r="H91" s="14" t="str">
        <f ca="1">IFERROR(__xludf.DUMMYFUNCTION("""COMPUTED_VALUE"""),"Südgeorgien und die Südlichen Sandwichinseln")</f>
        <v>Südgeorgien und die Südlichen Sandwichinseln</v>
      </c>
      <c r="I91" s="14" t="str">
        <f ca="1">IFERROR(__xludf.DUMMYFUNCTION("""COMPUTED_VALUE"""),"Georgia del Sur (la) y las Islas Sandwich del Sur")</f>
        <v>Georgia del Sur (la) y las Islas Sandwich del Sur</v>
      </c>
      <c r="J91" s="14" t="str">
        <f ca="1">IFERROR(__xludf.DUMMYFUNCTION("""COMPUTED_VALUE"""),"Etelä-Georgia ja Eteläiset Sandwichsaaret")</f>
        <v>Etelä-Georgia ja Eteläiset Sandwichsaaret</v>
      </c>
      <c r="K91" s="14" t="str">
        <f ca="1">IFERROR(__xludf.DUMMYFUNCTION("""COMPUTED_VALUE"""),"Νήσοι Νότια Γεωργία και Νότιες Σάντουιτς")</f>
        <v>Νήσοι Νότια Γεωργία και Νότιες Σάντουιτς</v>
      </c>
      <c r="L91" s="14" t="str">
        <f ca="1">IFERROR(__xludf.DUMMYFUNCTION("""COMPUTED_VALUE"""),"ΝΗΣΟΙ ΝΟΤΙΑ ΓΕΩΡΓΙΑ ΚΑΙ ΝΟΤΙΕΣ ΣΑΝΤΟΥΙΤΣ")</f>
        <v>ΝΗΣΟΙ ΝΟΤΙΑ ΓΕΩΡΓΙΑ ΚΑΙ ΝΟΤΙΕΣ ΣΑΝΤΟΥΙΤΣ</v>
      </c>
      <c r="M91" s="14" t="str">
        <f ca="1">IFERROR(__xludf.DUMMYFUNCTION("""COMPUTED_VALUE"""),"Južna Džordžija i otoci Južni Sendvič")</f>
        <v>Južna Džordžija i otoci Južni Sendvič</v>
      </c>
      <c r="N91" s="14" t="str">
        <f ca="1">IFERROR(__xludf.DUMMYFUNCTION("""COMPUTED_VALUE"""),"Déli-Georgia és Déli-Sandwich-szigetek")</f>
        <v>Déli-Georgia és Déli-Sandwich-szigetek</v>
      </c>
      <c r="O91" s="14" t="str">
        <f ca="1">IFERROR(__xludf.DUMMYFUNCTION("""COMPUTED_VALUE"""),"Georgia Selatan dan Kepulauan Sandwich Selatan")</f>
        <v>Georgia Selatan dan Kepulauan Sandwich Selatan</v>
      </c>
      <c r="P91" s="14" t="str">
        <f ca="1">IFERROR(__xludf.DUMMYFUNCTION("""COMPUTED_VALUE"""),"Georgia del Sud e Isole Sandwich Australi")</f>
        <v>Georgia del Sud e Isole Sandwich Australi</v>
      </c>
      <c r="Q91" s="14" t="str">
        <f ca="1">IFERROR(__xludf.DUMMYFUNCTION("""COMPUTED_VALUE"""),"사우스조지아 사우스샌드위치 제도")</f>
        <v>사우스조지아 사우스샌드위치 제도</v>
      </c>
      <c r="R91" s="14" t="str">
        <f ca="1">IFERROR(__xludf.DUMMYFUNCTION("""COMPUTED_VALUE"""),"Georgia Południowa i Sandwich Południowy")</f>
        <v>Georgia Południowa i Sandwich Południowy</v>
      </c>
      <c r="S91" s="14" t="str">
        <f ca="1">IFERROR(__xludf.DUMMYFUNCTION("""COMPUTED_VALUE"""),"Geórgia do Sul e Sandwich do Sul, Ilhas")</f>
        <v>Geórgia do Sul e Sandwich do Sul, Ilhas</v>
      </c>
      <c r="T91" s="14" t="str">
        <f ca="1">IFERROR(__xludf.DUMMYFUNCTION("""COMPUTED_VALUE"""),"Georgia de Sud și Insulele Sandwich de Sud")</f>
        <v>Georgia de Sud și Insulele Sandwich de Sud</v>
      </c>
      <c r="U91" s="14" t="str">
        <f ca="1">IFERROR(__xludf.DUMMYFUNCTION("""COMPUTED_VALUE"""),"Južna Džordžija i Južna Sendvička Ostrva")</f>
        <v>Južna Džordžija i Južna Sendvička Ostrva</v>
      </c>
      <c r="V91" s="14" t="str">
        <f ca="1">IFERROR(__xludf.DUMMYFUNCTION("""COMPUTED_VALUE"""),"Южная Георгия и Южные Сандвичевы Острова")</f>
        <v>Южная Георгия и Южные Сандвичевы Острова</v>
      </c>
      <c r="W91" s="14"/>
      <c r="X91" s="14" t="str">
        <f ca="1">IFERROR(__xludf.DUMMYFUNCTION("""COMPUTED_VALUE"""),"Južna Georgia in Južni Sandwichevi otoki")</f>
        <v>Južna Georgia in Južni Sandwichevi otoki</v>
      </c>
      <c r="Y91" s="14" t="str">
        <f ca="1">IFERROR(__xludf.DUMMYFUNCTION("""COMPUTED_VALUE"""),"Južná Georgia a Južné Sandwichove ostrovy")</f>
        <v>Južná Georgia a Južné Sandwichove ostrovy</v>
      </c>
      <c r="Z91" s="14" t="str">
        <f ca="1">IFERROR(__xludf.DUMMYFUNCTION("""COMPUTED_VALUE"""),"เกาะเซาท์จอร์เจียและหมู่เกาะเซาท์แซนด์วิช")</f>
        <v>เกาะเซาท์จอร์เจียและหมู่เกาะเซาท์แซนด์วิช</v>
      </c>
      <c r="AA91" s="14" t="str">
        <f ca="1">IFERROR(__xludf.DUMMYFUNCTION("""COMPUTED_VALUE"""),"Güney Georgia ve Güney Sandviç Adaları")</f>
        <v>Güney Georgia ve Güney Sandviç Adaları</v>
      </c>
      <c r="AB91" s="14" t="str">
        <f ca="1">IFERROR(__xludf.DUMMYFUNCTION("""COMPUTED_VALUE"""),"GÜNEY GEORGIA VE GÜNEY SANDVİÇ ADALARI")</f>
        <v>GÜNEY GEORGIA VE GÜNEY SANDVİÇ ADALARI</v>
      </c>
      <c r="AC91" s="14" t="str">
        <f ca="1">IFERROR(__xludf.DUMMYFUNCTION("""COMPUTED_VALUE"""),"Південна Джорджія та Південні Сандвічеві острови")</f>
        <v>Південна Джорджія та Південні Сандвічеві острови</v>
      </c>
      <c r="AD91" s="14" t="str">
        <f ca="1">IFERROR(__xludf.DUMMYFUNCTION("""COMPUTED_VALUE"""),"Quần đảo Nam Georgia và Nam Sandwich")</f>
        <v>Quần đảo Nam Georgia và Nam Sandwich</v>
      </c>
      <c r="AE91" s="14" t="str">
        <f ca="1">IFERROR(__xludf.DUMMYFUNCTION("""COMPUTED_VALUE"""),"Оңтүстік Георгия және Оңтүстік Сэндвич аралдары")</f>
        <v>Оңтүстік Георгия және Оңтүстік Сэндвич аралдары</v>
      </c>
      <c r="AF91" s="14"/>
    </row>
    <row r="92" spans="1:32" ht="13" x14ac:dyDescent="0.15">
      <c r="A92" s="14" t="str">
        <f ca="1">IFERROR(__xludf.DUMMYFUNCTION("""COMPUTED_VALUE"""),"GT")</f>
        <v>GT</v>
      </c>
      <c r="B92" s="14" t="str">
        <f ca="1">IFERROR(__xludf.DUMMYFUNCTION("""COMPUTED_VALUE"""),"Guatemala")</f>
        <v>Guatemala</v>
      </c>
      <c r="C92" s="14" t="str">
        <f ca="1">IFERROR(__xludf.DUMMYFUNCTION("""COMPUTED_VALUE"""),"جواتيمالا")</f>
        <v>جواتيمالا</v>
      </c>
      <c r="D92" s="14" t="str">
        <f ca="1">IFERROR(__xludf.DUMMYFUNCTION("""COMPUTED_VALUE"""),"Гватемала")</f>
        <v>Гватемала</v>
      </c>
      <c r="E92" s="14" t="str">
        <f ca="1">IFERROR(__xludf.DUMMYFUNCTION("""COMPUTED_VALUE"""),"Guatemala")</f>
        <v>Guatemala</v>
      </c>
      <c r="F92" s="14" t="str">
        <f ca="1">IFERROR(__xludf.DUMMYFUNCTION("""COMPUTED_VALUE"""),"Гватэмала")</f>
        <v>Гватэмала</v>
      </c>
      <c r="G92" s="14" t="str">
        <f ca="1">IFERROR(__xludf.DUMMYFUNCTION("""COMPUTED_VALUE"""),"Guatemala")</f>
        <v>Guatemala</v>
      </c>
      <c r="H92" s="14" t="str">
        <f ca="1">IFERROR(__xludf.DUMMYFUNCTION("""COMPUTED_VALUE"""),"Guatemala")</f>
        <v>Guatemala</v>
      </c>
      <c r="I92" s="14" t="str">
        <f ca="1">IFERROR(__xludf.DUMMYFUNCTION("""COMPUTED_VALUE"""),"Guatemala")</f>
        <v>Guatemala</v>
      </c>
      <c r="J92" s="14" t="str">
        <f ca="1">IFERROR(__xludf.DUMMYFUNCTION("""COMPUTED_VALUE"""),"Guatemala")</f>
        <v>Guatemala</v>
      </c>
      <c r="K92" s="14" t="str">
        <f ca="1">IFERROR(__xludf.DUMMYFUNCTION("""COMPUTED_VALUE"""),"Γουατεμάλα")</f>
        <v>Γουατεμάλα</v>
      </c>
      <c r="L92" s="14" t="str">
        <f ca="1">IFERROR(__xludf.DUMMYFUNCTION("""COMPUTED_VALUE"""),"ΓΟΥΑΤΕΜΑΛΑ")</f>
        <v>ΓΟΥΑΤΕΜΑΛΑ</v>
      </c>
      <c r="M92" s="14" t="str">
        <f ca="1">IFERROR(__xludf.DUMMYFUNCTION("""COMPUTED_VALUE"""),"Gvatemala")</f>
        <v>Gvatemala</v>
      </c>
      <c r="N92" s="14" t="str">
        <f ca="1">IFERROR(__xludf.DUMMYFUNCTION("""COMPUTED_VALUE"""),"Guatemala")</f>
        <v>Guatemala</v>
      </c>
      <c r="O92" s="14" t="str">
        <f ca="1">IFERROR(__xludf.DUMMYFUNCTION("""COMPUTED_VALUE"""),"Guatemala")</f>
        <v>Guatemala</v>
      </c>
      <c r="P92" s="14" t="str">
        <f ca="1">IFERROR(__xludf.DUMMYFUNCTION("""COMPUTED_VALUE"""),"Guatemala")</f>
        <v>Guatemala</v>
      </c>
      <c r="Q92" s="14" t="str">
        <f ca="1">IFERROR(__xludf.DUMMYFUNCTION("""COMPUTED_VALUE"""),"과테말라")</f>
        <v>과테말라</v>
      </c>
      <c r="R92" s="14" t="str">
        <f ca="1">IFERROR(__xludf.DUMMYFUNCTION("""COMPUTED_VALUE"""),"Gwatemala")</f>
        <v>Gwatemala</v>
      </c>
      <c r="S92" s="14" t="str">
        <f ca="1">IFERROR(__xludf.DUMMYFUNCTION("""COMPUTED_VALUE"""),"Guatemala")</f>
        <v>Guatemala</v>
      </c>
      <c r="T92" s="14" t="str">
        <f ca="1">IFERROR(__xludf.DUMMYFUNCTION("""COMPUTED_VALUE"""),"Guatemala")</f>
        <v>Guatemala</v>
      </c>
      <c r="U92" s="14" t="str">
        <f ca="1">IFERROR(__xludf.DUMMYFUNCTION("""COMPUTED_VALUE"""),"Gvatemala")</f>
        <v>Gvatemala</v>
      </c>
      <c r="V92" s="14" t="str">
        <f ca="1">IFERROR(__xludf.DUMMYFUNCTION("""COMPUTED_VALUE"""),"Гватемала")</f>
        <v>Гватемала</v>
      </c>
      <c r="W92" s="14" t="str">
        <f ca="1">IFERROR(__xludf.DUMMYFUNCTION("""COMPUTED_VALUE"""),"Guatemala")</f>
        <v>Guatemala</v>
      </c>
      <c r="X92" s="14" t="str">
        <f ca="1">IFERROR(__xludf.DUMMYFUNCTION("""COMPUTED_VALUE"""),"Gvatemala")</f>
        <v>Gvatemala</v>
      </c>
      <c r="Y92" s="14" t="str">
        <f ca="1">IFERROR(__xludf.DUMMYFUNCTION("""COMPUTED_VALUE"""),"Guatemala")</f>
        <v>Guatemala</v>
      </c>
      <c r="Z92" s="14" t="str">
        <f ca="1">IFERROR(__xludf.DUMMYFUNCTION("""COMPUTED_VALUE"""),"กัวเตมาลา")</f>
        <v>กัวเตมาลา</v>
      </c>
      <c r="AA92" s="14" t="str">
        <f ca="1">IFERROR(__xludf.DUMMYFUNCTION("""COMPUTED_VALUE"""),"Guatemala")</f>
        <v>Guatemala</v>
      </c>
      <c r="AB92" s="14" t="str">
        <f ca="1">IFERROR(__xludf.DUMMYFUNCTION("""COMPUTED_VALUE"""),"GUATEMALA")</f>
        <v>GUATEMALA</v>
      </c>
      <c r="AC92" s="14" t="str">
        <f ca="1">IFERROR(__xludf.DUMMYFUNCTION("""COMPUTED_VALUE"""),"Гватемала")</f>
        <v>Гватемала</v>
      </c>
      <c r="AD92" s="14" t="str">
        <f ca="1">IFERROR(__xludf.DUMMYFUNCTION("""COMPUTED_VALUE"""),"Guatemala")</f>
        <v>Guatemala</v>
      </c>
      <c r="AE92" s="14" t="str">
        <f ca="1">IFERROR(__xludf.DUMMYFUNCTION("""COMPUTED_VALUE"""),"Гватемала")</f>
        <v>Гватемала</v>
      </c>
      <c r="AF92" s="14"/>
    </row>
    <row r="93" spans="1:32" ht="13" x14ac:dyDescent="0.15">
      <c r="A93" s="14" t="str">
        <f ca="1">IFERROR(__xludf.DUMMYFUNCTION("""COMPUTED_VALUE"""),"GU")</f>
        <v>GU</v>
      </c>
      <c r="B93" s="14" t="str">
        <f ca="1">IFERROR(__xludf.DUMMYFUNCTION("""COMPUTED_VALUE"""),"Guam")</f>
        <v>Guam</v>
      </c>
      <c r="C93" s="14" t="str">
        <f ca="1">IFERROR(__xludf.DUMMYFUNCTION("""COMPUTED_VALUE"""),"جوام")</f>
        <v>جوام</v>
      </c>
      <c r="D93" s="14" t="str">
        <f ca="1">IFERROR(__xludf.DUMMYFUNCTION("""COMPUTED_VALUE"""),"Гуам")</f>
        <v>Гуам</v>
      </c>
      <c r="E93" s="14" t="str">
        <f ca="1">IFERROR(__xludf.DUMMYFUNCTION("""COMPUTED_VALUE"""),"Guam")</f>
        <v>Guam</v>
      </c>
      <c r="F93" s="14" t="str">
        <f ca="1">IFERROR(__xludf.DUMMYFUNCTION("""COMPUTED_VALUE"""),"Гуам")</f>
        <v>Гуам</v>
      </c>
      <c r="G93" s="14" t="str">
        <f ca="1">IFERROR(__xludf.DUMMYFUNCTION("""COMPUTED_VALUE"""),"Guam")</f>
        <v>Guam</v>
      </c>
      <c r="H93" s="14" t="str">
        <f ca="1">IFERROR(__xludf.DUMMYFUNCTION("""COMPUTED_VALUE"""),"Guam")</f>
        <v>Guam</v>
      </c>
      <c r="I93" s="14" t="str">
        <f ca="1">IFERROR(__xludf.DUMMYFUNCTION("""COMPUTED_VALUE"""),"Guam")</f>
        <v>Guam</v>
      </c>
      <c r="J93" s="14" t="str">
        <f ca="1">IFERROR(__xludf.DUMMYFUNCTION("""COMPUTED_VALUE"""),"Guam")</f>
        <v>Guam</v>
      </c>
      <c r="K93" s="14" t="str">
        <f ca="1">IFERROR(__xludf.DUMMYFUNCTION("""COMPUTED_VALUE"""),"Γκουάμ")</f>
        <v>Γκουάμ</v>
      </c>
      <c r="L93" s="14" t="str">
        <f ca="1">IFERROR(__xludf.DUMMYFUNCTION("""COMPUTED_VALUE"""),"ΓΚΟΥΑΜ")</f>
        <v>ΓΚΟΥΑΜ</v>
      </c>
      <c r="M93" s="14" t="str">
        <f ca="1">IFERROR(__xludf.DUMMYFUNCTION("""COMPUTED_VALUE"""),"Guam")</f>
        <v>Guam</v>
      </c>
      <c r="N93" s="14" t="str">
        <f ca="1">IFERROR(__xludf.DUMMYFUNCTION("""COMPUTED_VALUE"""),"Guam")</f>
        <v>Guam</v>
      </c>
      <c r="O93" s="14" t="str">
        <f ca="1">IFERROR(__xludf.DUMMYFUNCTION("""COMPUTED_VALUE"""),"Guam")</f>
        <v>Guam</v>
      </c>
      <c r="P93" s="14" t="str">
        <f ca="1">IFERROR(__xludf.DUMMYFUNCTION("""COMPUTED_VALUE"""),"Guam")</f>
        <v>Guam</v>
      </c>
      <c r="Q93" s="14" t="str">
        <f ca="1">IFERROR(__xludf.DUMMYFUNCTION("""COMPUTED_VALUE"""),"괌")</f>
        <v>괌</v>
      </c>
      <c r="R93" s="14" t="str">
        <f ca="1">IFERROR(__xludf.DUMMYFUNCTION("""COMPUTED_VALUE"""),"Guam")</f>
        <v>Guam</v>
      </c>
      <c r="S93" s="14" t="str">
        <f ca="1">IFERROR(__xludf.DUMMYFUNCTION("""COMPUTED_VALUE"""),"Guam")</f>
        <v>Guam</v>
      </c>
      <c r="T93" s="14" t="str">
        <f ca="1">IFERROR(__xludf.DUMMYFUNCTION("""COMPUTED_VALUE"""),"Guam")</f>
        <v>Guam</v>
      </c>
      <c r="U93" s="14" t="str">
        <f ca="1">IFERROR(__xludf.DUMMYFUNCTION("""COMPUTED_VALUE"""),"Gvam")</f>
        <v>Gvam</v>
      </c>
      <c r="V93" s="14" t="str">
        <f ca="1">IFERROR(__xludf.DUMMYFUNCTION("""COMPUTED_VALUE"""),"Гуам")</f>
        <v>Гуам</v>
      </c>
      <c r="W93" s="14" t="str">
        <f ca="1">IFERROR(__xludf.DUMMYFUNCTION("""COMPUTED_VALUE"""),"Guam")</f>
        <v>Guam</v>
      </c>
      <c r="X93" s="14" t="str">
        <f ca="1">IFERROR(__xludf.DUMMYFUNCTION("""COMPUTED_VALUE"""),"Guam")</f>
        <v>Guam</v>
      </c>
      <c r="Y93" s="14" t="str">
        <f ca="1">IFERROR(__xludf.DUMMYFUNCTION("""COMPUTED_VALUE"""),"Guam")</f>
        <v>Guam</v>
      </c>
      <c r="Z93" s="14" t="str">
        <f ca="1">IFERROR(__xludf.DUMMYFUNCTION("""COMPUTED_VALUE"""),"กวม")</f>
        <v>กวม</v>
      </c>
      <c r="AA93" s="14" t="str">
        <f ca="1">IFERROR(__xludf.DUMMYFUNCTION("""COMPUTED_VALUE"""),"Guam")</f>
        <v>Guam</v>
      </c>
      <c r="AB93" s="14" t="str">
        <f ca="1">IFERROR(__xludf.DUMMYFUNCTION("""COMPUTED_VALUE"""),"GUAM")</f>
        <v>GUAM</v>
      </c>
      <c r="AC93" s="14" t="str">
        <f ca="1">IFERROR(__xludf.DUMMYFUNCTION("""COMPUTED_VALUE"""),"Гуам")</f>
        <v>Гуам</v>
      </c>
      <c r="AD93" s="14" t="str">
        <f ca="1">IFERROR(__xludf.DUMMYFUNCTION("""COMPUTED_VALUE"""),"Guam")</f>
        <v>Guam</v>
      </c>
      <c r="AE93" s="14" t="str">
        <f ca="1">IFERROR(__xludf.DUMMYFUNCTION("""COMPUTED_VALUE"""),"Гуам")</f>
        <v>Гуам</v>
      </c>
      <c r="AF93" s="14"/>
    </row>
    <row r="94" spans="1:32" ht="13" x14ac:dyDescent="0.15">
      <c r="A94" s="14" t="str">
        <f ca="1">IFERROR(__xludf.DUMMYFUNCTION("""COMPUTED_VALUE"""),"GW")</f>
        <v>GW</v>
      </c>
      <c r="B94" s="14" t="str">
        <f ca="1">IFERROR(__xludf.DUMMYFUNCTION("""COMPUTED_VALUE"""),"Guinea-Bissau")</f>
        <v>Guinea-Bissau</v>
      </c>
      <c r="C94" s="14" t="str">
        <f ca="1">IFERROR(__xludf.DUMMYFUNCTION("""COMPUTED_VALUE"""),"غينيا بيساو")</f>
        <v>غينيا بيساو</v>
      </c>
      <c r="D94" s="14" t="str">
        <f ca="1">IFERROR(__xludf.DUMMYFUNCTION("""COMPUTED_VALUE"""),"Гвинея-Бисау")</f>
        <v>Гвинея-Бисау</v>
      </c>
      <c r="E94" s="14" t="str">
        <f ca="1">IFERROR(__xludf.DUMMYFUNCTION("""COMPUTED_VALUE"""),"Guiné-Bissau")</f>
        <v>Guiné-Bissau</v>
      </c>
      <c r="F94" s="14" t="str">
        <f ca="1">IFERROR(__xludf.DUMMYFUNCTION("""COMPUTED_VALUE"""),"Гвінея-Бісау")</f>
        <v>Гвінея-Бісау</v>
      </c>
      <c r="G94" s="14" t="str">
        <f ca="1">IFERROR(__xludf.DUMMYFUNCTION("""COMPUTED_VALUE"""),"Guinea-Bissau")</f>
        <v>Guinea-Bissau</v>
      </c>
      <c r="H94" s="14" t="str">
        <f ca="1">IFERROR(__xludf.DUMMYFUNCTION("""COMPUTED_VALUE"""),"Guinea-Bissau")</f>
        <v>Guinea-Bissau</v>
      </c>
      <c r="I94" s="14" t="str">
        <f ca="1">IFERROR(__xludf.DUMMYFUNCTION("""COMPUTED_VALUE"""),"Guinea Bissau")</f>
        <v>Guinea Bissau</v>
      </c>
      <c r="J94" s="14" t="str">
        <f ca="1">IFERROR(__xludf.DUMMYFUNCTION("""COMPUTED_VALUE"""),"Guinea-Bissau")</f>
        <v>Guinea-Bissau</v>
      </c>
      <c r="K94" s="14" t="str">
        <f ca="1">IFERROR(__xludf.DUMMYFUNCTION("""COMPUTED_VALUE"""),"Γουινέα-Μπισσάου")</f>
        <v>Γουινέα-Μπισσάου</v>
      </c>
      <c r="L94" s="14" t="str">
        <f ca="1">IFERROR(__xludf.DUMMYFUNCTION("""COMPUTED_VALUE"""),"ΓΟΥΙΝΕΑ-ΜΠΙΣΣΑΟΥ")</f>
        <v>ΓΟΥΙΝΕΑ-ΜΠΙΣΣΑΟΥ</v>
      </c>
      <c r="M94" s="14" t="str">
        <f ca="1">IFERROR(__xludf.DUMMYFUNCTION("""COMPUTED_VALUE"""),"Gvineja Bisau")</f>
        <v>Gvineja Bisau</v>
      </c>
      <c r="N94" s="14" t="str">
        <f ca="1">IFERROR(__xludf.DUMMYFUNCTION("""COMPUTED_VALUE"""),"Bissau-Guinea")</f>
        <v>Bissau-Guinea</v>
      </c>
      <c r="O94" s="14" t="str">
        <f ca="1">IFERROR(__xludf.DUMMYFUNCTION("""COMPUTED_VALUE"""),"Guinea-Bissau")</f>
        <v>Guinea-Bissau</v>
      </c>
      <c r="P94" s="14" t="str">
        <f ca="1">IFERROR(__xludf.DUMMYFUNCTION("""COMPUTED_VALUE"""),"Guinea-Bissau")</f>
        <v>Guinea-Bissau</v>
      </c>
      <c r="Q94" s="14" t="str">
        <f ca="1">IFERROR(__xludf.DUMMYFUNCTION("""COMPUTED_VALUE"""),"기니비사우")</f>
        <v>기니비사우</v>
      </c>
      <c r="R94" s="14" t="str">
        <f ca="1">IFERROR(__xludf.DUMMYFUNCTION("""COMPUTED_VALUE"""),"Gwinea Bissau")</f>
        <v>Gwinea Bissau</v>
      </c>
      <c r="S94" s="14" t="str">
        <f ca="1">IFERROR(__xludf.DUMMYFUNCTION("""COMPUTED_VALUE"""),"Guiné-Bissau")</f>
        <v>Guiné-Bissau</v>
      </c>
      <c r="T94" s="14" t="str">
        <f ca="1">IFERROR(__xludf.DUMMYFUNCTION("""COMPUTED_VALUE"""),"Guineea-Bissau")</f>
        <v>Guineea-Bissau</v>
      </c>
      <c r="U94" s="14" t="str">
        <f ca="1">IFERROR(__xludf.DUMMYFUNCTION("""COMPUTED_VALUE"""),"Gvineja Bisao")</f>
        <v>Gvineja Bisao</v>
      </c>
      <c r="V94" s="14" t="str">
        <f ca="1">IFERROR(__xludf.DUMMYFUNCTION("""COMPUTED_VALUE"""),"Гвинея-Бисау")</f>
        <v>Гвинея-Бисау</v>
      </c>
      <c r="W94" s="14" t="str">
        <f ca="1">IFERROR(__xludf.DUMMYFUNCTION("""COMPUTED_VALUE"""),"Guinea Bissau")</f>
        <v>Guinea Bissau</v>
      </c>
      <c r="X94" s="14" t="str">
        <f ca="1">IFERROR(__xludf.DUMMYFUNCTION("""COMPUTED_VALUE"""),"Gvineja Bissau")</f>
        <v>Gvineja Bissau</v>
      </c>
      <c r="Y94" s="14" t="str">
        <f ca="1">IFERROR(__xludf.DUMMYFUNCTION("""COMPUTED_VALUE"""),"Guinea-Bissau")</f>
        <v>Guinea-Bissau</v>
      </c>
      <c r="Z94" s="14" t="str">
        <f ca="1">IFERROR(__xludf.DUMMYFUNCTION("""COMPUTED_VALUE"""),"กินี-บิสเซา")</f>
        <v>กินี-บิสเซา</v>
      </c>
      <c r="AA94" s="14" t="str">
        <f ca="1">IFERROR(__xludf.DUMMYFUNCTION("""COMPUTED_VALUE"""),"Gine-Bissau")</f>
        <v>Gine-Bissau</v>
      </c>
      <c r="AB94" s="14" t="str">
        <f ca="1">IFERROR(__xludf.DUMMYFUNCTION("""COMPUTED_VALUE"""),"GİNE-BİSSAU")</f>
        <v>GİNE-BİSSAU</v>
      </c>
      <c r="AC94" s="14" t="str">
        <f ca="1">IFERROR(__xludf.DUMMYFUNCTION("""COMPUTED_VALUE"""),"Гвінея-Бісау")</f>
        <v>Гвінея-Бісау</v>
      </c>
      <c r="AD94" s="14" t="str">
        <f ca="1">IFERROR(__xludf.DUMMYFUNCTION("""COMPUTED_VALUE"""),"Guinea-Bissau")</f>
        <v>Guinea-Bissau</v>
      </c>
      <c r="AE94" s="14" t="str">
        <f ca="1">IFERROR(__xludf.DUMMYFUNCTION("""COMPUTED_VALUE"""),"Гвинея-Бисау")</f>
        <v>Гвинея-Бисау</v>
      </c>
      <c r="AF94" s="14"/>
    </row>
    <row r="95" spans="1:32" ht="13" x14ac:dyDescent="0.15">
      <c r="A95" s="14" t="str">
        <f ca="1">IFERROR(__xludf.DUMMYFUNCTION("""COMPUTED_VALUE"""),"GY")</f>
        <v>GY</v>
      </c>
      <c r="B95" s="14" t="str">
        <f ca="1">IFERROR(__xludf.DUMMYFUNCTION("""COMPUTED_VALUE"""),"Guyana")</f>
        <v>Guyana</v>
      </c>
      <c r="C95" s="14" t="str">
        <f ca="1">IFERROR(__xludf.DUMMYFUNCTION("""COMPUTED_VALUE"""),"غيانا")</f>
        <v>غيانا</v>
      </c>
      <c r="D95" s="14" t="str">
        <f ca="1">IFERROR(__xludf.DUMMYFUNCTION("""COMPUTED_VALUE"""),"Гвиана")</f>
        <v>Гвиана</v>
      </c>
      <c r="E95" s="14" t="str">
        <f ca="1">IFERROR(__xludf.DUMMYFUNCTION("""COMPUTED_VALUE"""),"Guiana")</f>
        <v>Guiana</v>
      </c>
      <c r="F95" s="14" t="str">
        <f ca="1">IFERROR(__xludf.DUMMYFUNCTION("""COMPUTED_VALUE"""),"Гаяна")</f>
        <v>Гаяна</v>
      </c>
      <c r="G95" s="14" t="str">
        <f ca="1">IFERROR(__xludf.DUMMYFUNCTION("""COMPUTED_VALUE"""),"Guyana")</f>
        <v>Guyana</v>
      </c>
      <c r="H95" s="14" t="str">
        <f ca="1">IFERROR(__xludf.DUMMYFUNCTION("""COMPUTED_VALUE"""),"Guyana")</f>
        <v>Guyana</v>
      </c>
      <c r="I95" s="14" t="str">
        <f ca="1">IFERROR(__xludf.DUMMYFUNCTION("""COMPUTED_VALUE"""),"Guyana")</f>
        <v>Guyana</v>
      </c>
      <c r="J95" s="14" t="str">
        <f ca="1">IFERROR(__xludf.DUMMYFUNCTION("""COMPUTED_VALUE"""),"Guyana")</f>
        <v>Guyana</v>
      </c>
      <c r="K95" s="14" t="str">
        <f ca="1">IFERROR(__xludf.DUMMYFUNCTION("""COMPUTED_VALUE"""),"Γουιάνα")</f>
        <v>Γουιάνα</v>
      </c>
      <c r="L95" s="14" t="str">
        <f ca="1">IFERROR(__xludf.DUMMYFUNCTION("""COMPUTED_VALUE"""),"ΓΟΥΙΑΝΑ")</f>
        <v>ΓΟΥΙΑΝΑ</v>
      </c>
      <c r="M95" s="14" t="str">
        <f ca="1">IFERROR(__xludf.DUMMYFUNCTION("""COMPUTED_VALUE"""),"Gvajana")</f>
        <v>Gvajana</v>
      </c>
      <c r="N95" s="14" t="str">
        <f ca="1">IFERROR(__xludf.DUMMYFUNCTION("""COMPUTED_VALUE"""),"Guyana")</f>
        <v>Guyana</v>
      </c>
      <c r="O95" s="14" t="str">
        <f ca="1">IFERROR(__xludf.DUMMYFUNCTION("""COMPUTED_VALUE"""),"Guyana")</f>
        <v>Guyana</v>
      </c>
      <c r="P95" s="14" t="str">
        <f ca="1">IFERROR(__xludf.DUMMYFUNCTION("""COMPUTED_VALUE"""),"Guyana")</f>
        <v>Guyana</v>
      </c>
      <c r="Q95" s="14" t="str">
        <f ca="1">IFERROR(__xludf.DUMMYFUNCTION("""COMPUTED_VALUE"""),"가이아나")</f>
        <v>가이아나</v>
      </c>
      <c r="R95" s="14" t="str">
        <f ca="1">IFERROR(__xludf.DUMMYFUNCTION("""COMPUTED_VALUE"""),"Gujana")</f>
        <v>Gujana</v>
      </c>
      <c r="S95" s="14" t="str">
        <f ca="1">IFERROR(__xludf.DUMMYFUNCTION("""COMPUTED_VALUE"""),"Guiana")</f>
        <v>Guiana</v>
      </c>
      <c r="T95" s="14" t="str">
        <f ca="1">IFERROR(__xludf.DUMMYFUNCTION("""COMPUTED_VALUE"""),"Guyana")</f>
        <v>Guyana</v>
      </c>
      <c r="U95" s="14" t="str">
        <f ca="1">IFERROR(__xludf.DUMMYFUNCTION("""COMPUTED_VALUE"""),"Gijana")</f>
        <v>Gijana</v>
      </c>
      <c r="V95" s="14" t="str">
        <f ca="1">IFERROR(__xludf.DUMMYFUNCTION("""COMPUTED_VALUE"""),"Гайана")</f>
        <v>Гайана</v>
      </c>
      <c r="W95" s="14" t="str">
        <f ca="1">IFERROR(__xludf.DUMMYFUNCTION("""COMPUTED_VALUE"""),"Guyana")</f>
        <v>Guyana</v>
      </c>
      <c r="X95" s="14" t="str">
        <f ca="1">IFERROR(__xludf.DUMMYFUNCTION("""COMPUTED_VALUE"""),"Gvajana")</f>
        <v>Gvajana</v>
      </c>
      <c r="Y95" s="14" t="str">
        <f ca="1">IFERROR(__xludf.DUMMYFUNCTION("""COMPUTED_VALUE"""),"Guyana")</f>
        <v>Guyana</v>
      </c>
      <c r="Z95" s="14" t="str">
        <f ca="1">IFERROR(__xludf.DUMMYFUNCTION("""COMPUTED_VALUE"""),"กายอานา")</f>
        <v>กายอานา</v>
      </c>
      <c r="AA95" s="14" t="str">
        <f ca="1">IFERROR(__xludf.DUMMYFUNCTION("""COMPUTED_VALUE"""),"Guyana")</f>
        <v>Guyana</v>
      </c>
      <c r="AB95" s="14" t="str">
        <f ca="1">IFERROR(__xludf.DUMMYFUNCTION("""COMPUTED_VALUE"""),"GUYANA")</f>
        <v>GUYANA</v>
      </c>
      <c r="AC95" s="14" t="str">
        <f ca="1">IFERROR(__xludf.DUMMYFUNCTION("""COMPUTED_VALUE"""),"Гаяна")</f>
        <v>Гаяна</v>
      </c>
      <c r="AD95" s="14" t="str">
        <f ca="1">IFERROR(__xludf.DUMMYFUNCTION("""COMPUTED_VALUE"""),"Guyana")</f>
        <v>Guyana</v>
      </c>
      <c r="AE95" s="14" t="str">
        <f ca="1">IFERROR(__xludf.DUMMYFUNCTION("""COMPUTED_VALUE"""),"Гайана")</f>
        <v>Гайана</v>
      </c>
      <c r="AF95" s="14"/>
    </row>
    <row r="96" spans="1:32" ht="13" x14ac:dyDescent="0.15">
      <c r="A96" s="14" t="str">
        <f ca="1">IFERROR(__xludf.DUMMYFUNCTION("""COMPUTED_VALUE"""),"HK")</f>
        <v>HK</v>
      </c>
      <c r="B96" s="14" t="str">
        <f ca="1">IFERROR(__xludf.DUMMYFUNCTION("""COMPUTED_VALUE"""),"Hong Kong")</f>
        <v>Hong Kong</v>
      </c>
      <c r="C96" s="14" t="str">
        <f ca="1">IFERROR(__xludf.DUMMYFUNCTION("""COMPUTED_VALUE"""),"هونج كونج الصينية")</f>
        <v>هونج كونج الصينية</v>
      </c>
      <c r="D96" s="14" t="str">
        <f ca="1">IFERROR(__xludf.DUMMYFUNCTION("""COMPUTED_VALUE"""),"Хонконг")</f>
        <v>Хонконг</v>
      </c>
      <c r="E96" s="14" t="str">
        <f ca="1">IFERROR(__xludf.DUMMYFUNCTION("""COMPUTED_VALUE"""),"Hong Kong")</f>
        <v>Hong Kong</v>
      </c>
      <c r="F96" s="14" t="str">
        <f ca="1">IFERROR(__xludf.DUMMYFUNCTION("""COMPUTED_VALUE"""),"Ганконг")</f>
        <v>Ганконг</v>
      </c>
      <c r="G96" s="14" t="str">
        <f ca="1">IFERROR(__xludf.DUMMYFUNCTION("""COMPUTED_VALUE"""),"Hongkong")</f>
        <v>Hongkong</v>
      </c>
      <c r="H96" s="14" t="str">
        <f ca="1">IFERROR(__xludf.DUMMYFUNCTION("""COMPUTED_VALUE"""),"Hongkong")</f>
        <v>Hongkong</v>
      </c>
      <c r="I96" s="14" t="str">
        <f ca="1">IFERROR(__xludf.DUMMYFUNCTION("""COMPUTED_VALUE"""),"Hong Kong")</f>
        <v>Hong Kong</v>
      </c>
      <c r="J96" s="14" t="str">
        <f ca="1">IFERROR(__xludf.DUMMYFUNCTION("""COMPUTED_VALUE"""),"Hongkong")</f>
        <v>Hongkong</v>
      </c>
      <c r="K96" s="14" t="str">
        <f ca="1">IFERROR(__xludf.DUMMYFUNCTION("""COMPUTED_VALUE"""),"Χονγκ Κονγκ")</f>
        <v>Χονγκ Κονγκ</v>
      </c>
      <c r="L96" s="14" t="str">
        <f ca="1">IFERROR(__xludf.DUMMYFUNCTION("""COMPUTED_VALUE"""),"ΧΟΝΓΚ ΚΟΝΓΚ")</f>
        <v>ΧΟΝΓΚ ΚΟΝΓΚ</v>
      </c>
      <c r="M96" s="14" t="str">
        <f ca="1">IFERROR(__xludf.DUMMYFUNCTION("""COMPUTED_VALUE"""),"Hong Kong")</f>
        <v>Hong Kong</v>
      </c>
      <c r="N96" s="14" t="str">
        <f ca="1">IFERROR(__xludf.DUMMYFUNCTION("""COMPUTED_VALUE"""),"Hongkong")</f>
        <v>Hongkong</v>
      </c>
      <c r="O96" s="14" t="str">
        <f ca="1">IFERROR(__xludf.DUMMYFUNCTION("""COMPUTED_VALUE"""),"Hong Kong")</f>
        <v>Hong Kong</v>
      </c>
      <c r="P96" s="14" t="str">
        <f ca="1">IFERROR(__xludf.DUMMYFUNCTION("""COMPUTED_VALUE"""),"Hong Kong")</f>
        <v>Hong Kong</v>
      </c>
      <c r="Q96" s="14" t="str">
        <f ca="1">IFERROR(__xludf.DUMMYFUNCTION("""COMPUTED_VALUE"""),"홍콩")</f>
        <v>홍콩</v>
      </c>
      <c r="R96" s="14" t="str">
        <f ca="1">IFERROR(__xludf.DUMMYFUNCTION("""COMPUTED_VALUE"""),"Hongkong")</f>
        <v>Hongkong</v>
      </c>
      <c r="S96" s="14" t="str">
        <f ca="1">IFERROR(__xludf.DUMMYFUNCTION("""COMPUTED_VALUE"""),"Hong Kong")</f>
        <v>Hong Kong</v>
      </c>
      <c r="T96" s="14" t="str">
        <f ca="1">IFERROR(__xludf.DUMMYFUNCTION("""COMPUTED_VALUE"""),"Hong Kong")</f>
        <v>Hong Kong</v>
      </c>
      <c r="U96" s="14" t="str">
        <f ca="1">IFERROR(__xludf.DUMMYFUNCTION("""COMPUTED_VALUE"""),"Hongkong")</f>
        <v>Hongkong</v>
      </c>
      <c r="V96" s="14" t="str">
        <f ca="1">IFERROR(__xludf.DUMMYFUNCTION("""COMPUTED_VALUE"""),"Гонконг")</f>
        <v>Гонконг</v>
      </c>
      <c r="W96" s="14" t="str">
        <f ca="1">IFERROR(__xludf.DUMMYFUNCTION("""COMPUTED_VALUE"""),"Hongkong")</f>
        <v>Hongkong</v>
      </c>
      <c r="X96" s="14" t="str">
        <f ca="1">IFERROR(__xludf.DUMMYFUNCTION("""COMPUTED_VALUE"""),"Hong Kong")</f>
        <v>Hong Kong</v>
      </c>
      <c r="Y96" s="14" t="str">
        <f ca="1">IFERROR(__xludf.DUMMYFUNCTION("""COMPUTED_VALUE"""),"Hongkong")</f>
        <v>Hongkong</v>
      </c>
      <c r="Z96" s="14" t="str">
        <f ca="1">IFERROR(__xludf.DUMMYFUNCTION("""COMPUTED_VALUE"""),"ฮ่องกง")</f>
        <v>ฮ่องกง</v>
      </c>
      <c r="AA96" s="14" t="str">
        <f ca="1">IFERROR(__xludf.DUMMYFUNCTION("""COMPUTED_VALUE"""),"Hong Kong")</f>
        <v>Hong Kong</v>
      </c>
      <c r="AB96" s="14" t="str">
        <f ca="1">IFERROR(__xludf.DUMMYFUNCTION("""COMPUTED_VALUE"""),"HONG KONG")</f>
        <v>HONG KONG</v>
      </c>
      <c r="AC96" s="14" t="str">
        <f ca="1">IFERROR(__xludf.DUMMYFUNCTION("""COMPUTED_VALUE"""),"Гонконг")</f>
        <v>Гонконг</v>
      </c>
      <c r="AD96" s="14" t="str">
        <f ca="1">IFERROR(__xludf.DUMMYFUNCTION("""COMPUTED_VALUE"""),"Hồng Kông")</f>
        <v>Hồng Kông</v>
      </c>
      <c r="AE96" s="14" t="str">
        <f ca="1">IFERROR(__xludf.DUMMYFUNCTION("""COMPUTED_VALUE"""),"Гонконг")</f>
        <v>Гонконг</v>
      </c>
      <c r="AF96" s="14"/>
    </row>
    <row r="97" spans="1:32" ht="13" x14ac:dyDescent="0.15">
      <c r="A97" s="14" t="str">
        <f ca="1">IFERROR(__xludf.DUMMYFUNCTION("""COMPUTED_VALUE"""),"HM")</f>
        <v>HM</v>
      </c>
      <c r="B97" s="14" t="str">
        <f ca="1">IFERROR(__xludf.DUMMYFUNCTION("""COMPUTED_VALUE"""),"Heard Island and McDonald Islands")</f>
        <v>Heard Island and McDonald Islands</v>
      </c>
      <c r="C97" s="14" t="str">
        <f ca="1">IFERROR(__xludf.DUMMYFUNCTION("""COMPUTED_VALUE"""),"جزيرة هيرد وماكدونالد")</f>
        <v>جزيرة هيرد وماكدونالد</v>
      </c>
      <c r="D97" s="14" t="str">
        <f ca="1">IFERROR(__xludf.DUMMYFUNCTION("""COMPUTED_VALUE"""),"Острови Хърд и Макдоналд")</f>
        <v>Острови Хърд и Макдоналд</v>
      </c>
      <c r="E97" s="14" t="str">
        <f ca="1">IFERROR(__xludf.DUMMYFUNCTION("""COMPUTED_VALUE"""),"Heard e Ilhas McDonald, Ilha")</f>
        <v>Heard e Ilhas McDonald, Ilha</v>
      </c>
      <c r="F97" s="14" t="str">
        <f ca="1">IFERROR(__xludf.DUMMYFUNCTION("""COMPUTED_VALUE"""),"Херд і Макдональд")</f>
        <v>Херд і Макдональд</v>
      </c>
      <c r="G97" s="14" t="str">
        <f ca="1">IFERROR(__xludf.DUMMYFUNCTION("""COMPUTED_VALUE"""),"Heardův ostrov a McDonaldovy ostrovy")</f>
        <v>Heardův ostrov a McDonaldovy ostrovy</v>
      </c>
      <c r="H97" s="14" t="str">
        <f ca="1">IFERROR(__xludf.DUMMYFUNCTION("""COMPUTED_VALUE"""),"Heard und McDonaldinseln")</f>
        <v>Heard und McDonaldinseln</v>
      </c>
      <c r="I97" s="14" t="str">
        <f ca="1">IFERROR(__xludf.DUMMYFUNCTION("""COMPUTED_VALUE"""),"Heard (Isla) e Islas McDonald")</f>
        <v>Heard (Isla) e Islas McDonald</v>
      </c>
      <c r="J97" s="14" t="str">
        <f ca="1">IFERROR(__xludf.DUMMYFUNCTION("""COMPUTED_VALUE"""),"Heard ja McDonaldinsaaret")</f>
        <v>Heard ja McDonaldinsaaret</v>
      </c>
      <c r="K97" s="14" t="str">
        <f ca="1">IFERROR(__xludf.DUMMYFUNCTION("""COMPUTED_VALUE"""),"Νήσοι Χερντ και Μακντόναλντ")</f>
        <v>Νήσοι Χερντ και Μακντόναλντ</v>
      </c>
      <c r="L97" s="14" t="str">
        <f ca="1">IFERROR(__xludf.DUMMYFUNCTION("""COMPUTED_VALUE"""),"ΝΗΣΟΙ ΧΕΡΝΤ ΚΑΙ ΜΑΚΝΤΟΝΑΛΝΤ")</f>
        <v>ΝΗΣΟΙ ΧΕΡΝΤ ΚΑΙ ΜΑΚΝΤΟΝΑΛΝΤ</v>
      </c>
      <c r="M97" s="14" t="str">
        <f ca="1">IFERROR(__xludf.DUMMYFUNCTION("""COMPUTED_VALUE"""),"Otok Heard i otoci McDonald")</f>
        <v>Otok Heard i otoci McDonald</v>
      </c>
      <c r="N97" s="14" t="str">
        <f ca="1">IFERROR(__xludf.DUMMYFUNCTION("""COMPUTED_VALUE"""),"Heard-sziget és McDonald-szigetek")</f>
        <v>Heard-sziget és McDonald-szigetek</v>
      </c>
      <c r="O97" s="14" t="str">
        <f ca="1">IFERROR(__xludf.DUMMYFUNCTION("""COMPUTED_VALUE"""),"Heard dan Kepulauan McDonald, Pulau")</f>
        <v>Heard dan Kepulauan McDonald, Pulau</v>
      </c>
      <c r="P97" s="14" t="str">
        <f ca="1">IFERROR(__xludf.DUMMYFUNCTION("""COMPUTED_VALUE"""),"Isole Heard e McDonald")</f>
        <v>Isole Heard e McDonald</v>
      </c>
      <c r="Q97" s="14" t="str">
        <f ca="1">IFERROR(__xludf.DUMMYFUNCTION("""COMPUTED_VALUE"""),"허드 맥도널드 제도")</f>
        <v>허드 맥도널드 제도</v>
      </c>
      <c r="R97" s="14" t="str">
        <f ca="1">IFERROR(__xludf.DUMMYFUNCTION("""COMPUTED_VALUE"""),"Wyspy Heard i McDonalda")</f>
        <v>Wyspy Heard i McDonalda</v>
      </c>
      <c r="S97" s="14" t="str">
        <f ca="1">IFERROR(__xludf.DUMMYFUNCTION("""COMPUTED_VALUE"""),"Heard e Ilhas McDonald, Ilha")</f>
        <v>Heard e Ilhas McDonald, Ilha</v>
      </c>
      <c r="T97" s="14" t="str">
        <f ca="1">IFERROR(__xludf.DUMMYFUNCTION("""COMPUTED_VALUE"""),"Insula Heard și Insulele McDonald")</f>
        <v>Insula Heard și Insulele McDonald</v>
      </c>
      <c r="U97" s="14" t="str">
        <f ca="1">IFERROR(__xludf.DUMMYFUNCTION("""COMPUTED_VALUE"""),"Ostrva Herd i Makdonald")</f>
        <v>Ostrva Herd i Makdonald</v>
      </c>
      <c r="V97" s="14" t="str">
        <f ca="1">IFERROR(__xludf.DUMMYFUNCTION("""COMPUTED_VALUE"""),"Херд и Макдональд")</f>
        <v>Херд и Макдональд</v>
      </c>
      <c r="W97" s="14" t="str">
        <f ca="1">IFERROR(__xludf.DUMMYFUNCTION("""COMPUTED_VALUE"""),"Heard- och McDonaldöarna")</f>
        <v>Heard- och McDonaldöarna</v>
      </c>
      <c r="X97" s="14" t="str">
        <f ca="1">IFERROR(__xludf.DUMMYFUNCTION("""COMPUTED_VALUE"""),"Heardov otok in McDonaldovo otočje")</f>
        <v>Heardov otok in McDonaldovo otočje</v>
      </c>
      <c r="Y97" s="14" t="str">
        <f ca="1">IFERROR(__xludf.DUMMYFUNCTION("""COMPUTED_VALUE"""),"Heardov ostrov")</f>
        <v>Heardov ostrov</v>
      </c>
      <c r="Z97" s="14" t="str">
        <f ca="1">IFERROR(__xludf.DUMMYFUNCTION("""COMPUTED_VALUE"""),"เกาะเฮิร์ดและหมู่เกาะแมกดอนัลด์")</f>
        <v>เกาะเฮิร์ดและหมู่เกาะแมกดอนัลด์</v>
      </c>
      <c r="AA97" s="14" t="str">
        <f ca="1">IFERROR(__xludf.DUMMYFUNCTION("""COMPUTED_VALUE"""),"Heard Adası ve McDonald Mcdonald Adaları")</f>
        <v>Heard Adası ve McDonald Mcdonald Adaları</v>
      </c>
      <c r="AB97" s="14" t="str">
        <f ca="1">IFERROR(__xludf.DUMMYFUNCTION("""COMPUTED_VALUE"""),"HEARD ADASI VE MCDONALD MCDONALD ADALARI")</f>
        <v>HEARD ADASI VE MCDONALD MCDONALD ADALARI</v>
      </c>
      <c r="AC97" s="14" t="str">
        <f ca="1">IFERROR(__xludf.DUMMYFUNCTION("""COMPUTED_VALUE"""),"Острів Херд і острови Макдональд")</f>
        <v>Острів Херд і острови Макдональд</v>
      </c>
      <c r="AD97" s="14" t="str">
        <f ca="1">IFERROR(__xludf.DUMMYFUNCTION("""COMPUTED_VALUE"""),"Đảo Heard và quần đảo McDonald")</f>
        <v>Đảo Heard và quần đảo McDonald</v>
      </c>
      <c r="AE97" s="14" t="str">
        <f ca="1">IFERROR(__xludf.DUMMYFUNCTION("""COMPUTED_VALUE"""),"Херд және Макдональд")</f>
        <v>Херд және Макдональд</v>
      </c>
      <c r="AF97" s="14"/>
    </row>
    <row r="98" spans="1:32" ht="13" x14ac:dyDescent="0.15">
      <c r="A98" s="14" t="str">
        <f ca="1">IFERROR(__xludf.DUMMYFUNCTION("""COMPUTED_VALUE"""),"HN")</f>
        <v>HN</v>
      </c>
      <c r="B98" s="14" t="str">
        <f ca="1">IFERROR(__xludf.DUMMYFUNCTION("""COMPUTED_VALUE"""),"Honduras")</f>
        <v>Honduras</v>
      </c>
      <c r="C98" s="14" t="str">
        <f ca="1">IFERROR(__xludf.DUMMYFUNCTION("""COMPUTED_VALUE"""),"هندوراس")</f>
        <v>هندوراس</v>
      </c>
      <c r="D98" s="14" t="str">
        <f ca="1">IFERROR(__xludf.DUMMYFUNCTION("""COMPUTED_VALUE"""),"Хондурас")</f>
        <v>Хондурас</v>
      </c>
      <c r="E98" s="14" t="str">
        <f ca="1">IFERROR(__xludf.DUMMYFUNCTION("""COMPUTED_VALUE"""),"Honduras")</f>
        <v>Honduras</v>
      </c>
      <c r="F98" s="14" t="str">
        <f ca="1">IFERROR(__xludf.DUMMYFUNCTION("""COMPUTED_VALUE"""),"Гандурас")</f>
        <v>Гандурас</v>
      </c>
      <c r="G98" s="14" t="str">
        <f ca="1">IFERROR(__xludf.DUMMYFUNCTION("""COMPUTED_VALUE"""),"Honduras")</f>
        <v>Honduras</v>
      </c>
      <c r="H98" s="14" t="str">
        <f ca="1">IFERROR(__xludf.DUMMYFUNCTION("""COMPUTED_VALUE"""),"Honduras")</f>
        <v>Honduras</v>
      </c>
      <c r="I98" s="14" t="str">
        <f ca="1">IFERROR(__xludf.DUMMYFUNCTION("""COMPUTED_VALUE"""),"Honduras")</f>
        <v>Honduras</v>
      </c>
      <c r="J98" s="14" t="str">
        <f ca="1">IFERROR(__xludf.DUMMYFUNCTION("""COMPUTED_VALUE"""),"Honduras")</f>
        <v>Honduras</v>
      </c>
      <c r="K98" s="14" t="str">
        <f ca="1">IFERROR(__xludf.DUMMYFUNCTION("""COMPUTED_VALUE"""),"Ονδούρα")</f>
        <v>Ονδούρα</v>
      </c>
      <c r="L98" s="14" t="str">
        <f ca="1">IFERROR(__xludf.DUMMYFUNCTION("""COMPUTED_VALUE"""),"ΟΝΔΟΥΡΑ")</f>
        <v>ΟΝΔΟΥΡΑ</v>
      </c>
      <c r="M98" s="14" t="str">
        <f ca="1">IFERROR(__xludf.DUMMYFUNCTION("""COMPUTED_VALUE"""),"Honduras")</f>
        <v>Honduras</v>
      </c>
      <c r="N98" s="14" t="str">
        <f ca="1">IFERROR(__xludf.DUMMYFUNCTION("""COMPUTED_VALUE"""),"Honduras")</f>
        <v>Honduras</v>
      </c>
      <c r="O98" s="14" t="str">
        <f ca="1">IFERROR(__xludf.DUMMYFUNCTION("""COMPUTED_VALUE"""),"Honduras")</f>
        <v>Honduras</v>
      </c>
      <c r="P98" s="14" t="str">
        <f ca="1">IFERROR(__xludf.DUMMYFUNCTION("""COMPUTED_VALUE"""),"Honduras")</f>
        <v>Honduras</v>
      </c>
      <c r="Q98" s="14" t="str">
        <f ca="1">IFERROR(__xludf.DUMMYFUNCTION("""COMPUTED_VALUE"""),"온두라스")</f>
        <v>온두라스</v>
      </c>
      <c r="R98" s="14" t="str">
        <f ca="1">IFERROR(__xludf.DUMMYFUNCTION("""COMPUTED_VALUE"""),"Honduras")</f>
        <v>Honduras</v>
      </c>
      <c r="S98" s="14" t="str">
        <f ca="1">IFERROR(__xludf.DUMMYFUNCTION("""COMPUTED_VALUE"""),"Honduras")</f>
        <v>Honduras</v>
      </c>
      <c r="T98" s="14" t="str">
        <f ca="1">IFERROR(__xludf.DUMMYFUNCTION("""COMPUTED_VALUE"""),"Honduras")</f>
        <v>Honduras</v>
      </c>
      <c r="U98" s="14" t="str">
        <f ca="1">IFERROR(__xludf.DUMMYFUNCTION("""COMPUTED_VALUE"""),"Honduras")</f>
        <v>Honduras</v>
      </c>
      <c r="V98" s="14" t="str">
        <f ca="1">IFERROR(__xludf.DUMMYFUNCTION("""COMPUTED_VALUE"""),"Гондурас")</f>
        <v>Гондурас</v>
      </c>
      <c r="W98" s="14" t="str">
        <f ca="1">IFERROR(__xludf.DUMMYFUNCTION("""COMPUTED_VALUE"""),"Honduras")</f>
        <v>Honduras</v>
      </c>
      <c r="X98" s="14" t="str">
        <f ca="1">IFERROR(__xludf.DUMMYFUNCTION("""COMPUTED_VALUE"""),"Honduras")</f>
        <v>Honduras</v>
      </c>
      <c r="Y98" s="14" t="str">
        <f ca="1">IFERROR(__xludf.DUMMYFUNCTION("""COMPUTED_VALUE"""),"Honduras")</f>
        <v>Honduras</v>
      </c>
      <c r="Z98" s="14" t="str">
        <f ca="1">IFERROR(__xludf.DUMMYFUNCTION("""COMPUTED_VALUE"""),"ฮอนดูรัส")</f>
        <v>ฮอนดูรัส</v>
      </c>
      <c r="AA98" s="14" t="str">
        <f ca="1">IFERROR(__xludf.DUMMYFUNCTION("""COMPUTED_VALUE"""),"Honduras")</f>
        <v>Honduras</v>
      </c>
      <c r="AB98" s="14" t="str">
        <f ca="1">IFERROR(__xludf.DUMMYFUNCTION("""COMPUTED_VALUE"""),"HONDURAS")</f>
        <v>HONDURAS</v>
      </c>
      <c r="AC98" s="14" t="str">
        <f ca="1">IFERROR(__xludf.DUMMYFUNCTION("""COMPUTED_VALUE"""),"Гондурас")</f>
        <v>Гондурас</v>
      </c>
      <c r="AD98" s="14" t="str">
        <f ca="1">IFERROR(__xludf.DUMMYFUNCTION("""COMPUTED_VALUE"""),"Honduras")</f>
        <v>Honduras</v>
      </c>
      <c r="AE98" s="14" t="str">
        <f ca="1">IFERROR(__xludf.DUMMYFUNCTION("""COMPUTED_VALUE"""),"Гондурас")</f>
        <v>Гондурас</v>
      </c>
      <c r="AF98" s="14"/>
    </row>
    <row r="99" spans="1:32" ht="13" x14ac:dyDescent="0.15">
      <c r="A99" s="14" t="str">
        <f ca="1">IFERROR(__xludf.DUMMYFUNCTION("""COMPUTED_VALUE"""),"HR")</f>
        <v>HR</v>
      </c>
      <c r="B99" s="14" t="str">
        <f ca="1">IFERROR(__xludf.DUMMYFUNCTION("""COMPUTED_VALUE"""),"Croatia")</f>
        <v>Croatia</v>
      </c>
      <c r="C99" s="14" t="str">
        <f ca="1">IFERROR(__xludf.DUMMYFUNCTION("""COMPUTED_VALUE"""),"كرواتيا")</f>
        <v>كرواتيا</v>
      </c>
      <c r="D99" s="14" t="str">
        <f ca="1">IFERROR(__xludf.DUMMYFUNCTION("""COMPUTED_VALUE"""),"Хърватия")</f>
        <v>Хърватия</v>
      </c>
      <c r="E99" s="14" t="str">
        <f ca="1">IFERROR(__xludf.DUMMYFUNCTION("""COMPUTED_VALUE"""),"Croácia")</f>
        <v>Croácia</v>
      </c>
      <c r="F99" s="14" t="str">
        <f ca="1">IFERROR(__xludf.DUMMYFUNCTION("""COMPUTED_VALUE"""),"Харватыя")</f>
        <v>Харватыя</v>
      </c>
      <c r="G99" s="14" t="str">
        <f ca="1">IFERROR(__xludf.DUMMYFUNCTION("""COMPUTED_VALUE"""),"Chorvatsko")</f>
        <v>Chorvatsko</v>
      </c>
      <c r="H99" s="14" t="str">
        <f ca="1">IFERROR(__xludf.DUMMYFUNCTION("""COMPUTED_VALUE"""),"Kroatien")</f>
        <v>Kroatien</v>
      </c>
      <c r="I99" s="14" t="str">
        <f ca="1">IFERROR(__xludf.DUMMYFUNCTION("""COMPUTED_VALUE"""),"Croacia")</f>
        <v>Croacia</v>
      </c>
      <c r="J99" s="14" t="str">
        <f ca="1">IFERROR(__xludf.DUMMYFUNCTION("""COMPUTED_VALUE"""),"Kroatia")</f>
        <v>Kroatia</v>
      </c>
      <c r="K99" s="14" t="str">
        <f ca="1">IFERROR(__xludf.DUMMYFUNCTION("""COMPUTED_VALUE"""),"Κροατία")</f>
        <v>Κροατία</v>
      </c>
      <c r="L99" s="14" t="str">
        <f ca="1">IFERROR(__xludf.DUMMYFUNCTION("""COMPUTED_VALUE"""),"ΚΡΟΑΤΙΑ")</f>
        <v>ΚΡΟΑΤΙΑ</v>
      </c>
      <c r="M99" s="14" t="str">
        <f ca="1">IFERROR(__xludf.DUMMYFUNCTION("""COMPUTED_VALUE"""),"Hrvatska")</f>
        <v>Hrvatska</v>
      </c>
      <c r="N99" s="14" t="str">
        <f ca="1">IFERROR(__xludf.DUMMYFUNCTION("""COMPUTED_VALUE"""),"Horvátország")</f>
        <v>Horvátország</v>
      </c>
      <c r="O99" s="14" t="str">
        <f ca="1">IFERROR(__xludf.DUMMYFUNCTION("""COMPUTED_VALUE"""),"Kroasia")</f>
        <v>Kroasia</v>
      </c>
      <c r="P99" s="14" t="str">
        <f ca="1">IFERROR(__xludf.DUMMYFUNCTION("""COMPUTED_VALUE"""),"Croazia")</f>
        <v>Croazia</v>
      </c>
      <c r="Q99" s="14" t="str">
        <f ca="1">IFERROR(__xludf.DUMMYFUNCTION("""COMPUTED_VALUE"""),"크로아티아")</f>
        <v>크로아티아</v>
      </c>
      <c r="R99" s="14" t="str">
        <f ca="1">IFERROR(__xludf.DUMMYFUNCTION("""COMPUTED_VALUE"""),"Chorwacja")</f>
        <v>Chorwacja</v>
      </c>
      <c r="S99" s="14" t="str">
        <f ca="1">IFERROR(__xludf.DUMMYFUNCTION("""COMPUTED_VALUE"""),"Croácia")</f>
        <v>Croácia</v>
      </c>
      <c r="T99" s="14" t="str">
        <f ca="1">IFERROR(__xludf.DUMMYFUNCTION("""COMPUTED_VALUE"""),"Croația")</f>
        <v>Croația</v>
      </c>
      <c r="U99" s="14" t="str">
        <f ca="1">IFERROR(__xludf.DUMMYFUNCTION("""COMPUTED_VALUE"""),"Hrvatska")</f>
        <v>Hrvatska</v>
      </c>
      <c r="V99" s="14" t="str">
        <f ca="1">IFERROR(__xludf.DUMMYFUNCTION("""COMPUTED_VALUE"""),"Хорватия")</f>
        <v>Хорватия</v>
      </c>
      <c r="W99" s="14" t="str">
        <f ca="1">IFERROR(__xludf.DUMMYFUNCTION("""COMPUTED_VALUE"""),"Kroatien")</f>
        <v>Kroatien</v>
      </c>
      <c r="X99" s="14" t="str">
        <f ca="1">IFERROR(__xludf.DUMMYFUNCTION("""COMPUTED_VALUE"""),"Hrvaška")</f>
        <v>Hrvaška</v>
      </c>
      <c r="Y99" s="14" t="str">
        <f ca="1">IFERROR(__xludf.DUMMYFUNCTION("""COMPUTED_VALUE"""),"Chorvátsko")</f>
        <v>Chorvátsko</v>
      </c>
      <c r="Z99" s="14" t="str">
        <f ca="1">IFERROR(__xludf.DUMMYFUNCTION("""COMPUTED_VALUE"""),"โครเอเชีย")</f>
        <v>โครเอเชีย</v>
      </c>
      <c r="AA99" s="14" t="str">
        <f ca="1">IFERROR(__xludf.DUMMYFUNCTION("""COMPUTED_VALUE"""),"Hırvatistan")</f>
        <v>Hırvatistan</v>
      </c>
      <c r="AB99" s="14" t="str">
        <f ca="1">IFERROR(__xludf.DUMMYFUNCTION("""COMPUTED_VALUE"""),"HIRVATİSTAN")</f>
        <v>HIRVATİSTAN</v>
      </c>
      <c r="AC99" s="14" t="str">
        <f ca="1">IFERROR(__xludf.DUMMYFUNCTION("""COMPUTED_VALUE"""),"Хорватія")</f>
        <v>Хорватія</v>
      </c>
      <c r="AD99" s="14" t="str">
        <f ca="1">IFERROR(__xludf.DUMMYFUNCTION("""COMPUTED_VALUE"""),"Croatia")</f>
        <v>Croatia</v>
      </c>
      <c r="AE99" s="14" t="str">
        <f ca="1">IFERROR(__xludf.DUMMYFUNCTION("""COMPUTED_VALUE"""),"Хорватия")</f>
        <v>Хорватия</v>
      </c>
      <c r="AF99" s="14"/>
    </row>
    <row r="100" spans="1:32" ht="13" x14ac:dyDescent="0.15">
      <c r="A100" s="14" t="str">
        <f ca="1">IFERROR(__xludf.DUMMYFUNCTION("""COMPUTED_VALUE"""),"HT")</f>
        <v>HT</v>
      </c>
      <c r="B100" s="14" t="str">
        <f ca="1">IFERROR(__xludf.DUMMYFUNCTION("""COMPUTED_VALUE"""),"Haiti")</f>
        <v>Haiti</v>
      </c>
      <c r="C100" s="14" t="str">
        <f ca="1">IFERROR(__xludf.DUMMYFUNCTION("""COMPUTED_VALUE"""),"هايتي")</f>
        <v>هايتي</v>
      </c>
      <c r="D100" s="14" t="str">
        <f ca="1">IFERROR(__xludf.DUMMYFUNCTION("""COMPUTED_VALUE"""),"Хаити")</f>
        <v>Хаити</v>
      </c>
      <c r="E100" s="14" t="str">
        <f ca="1">IFERROR(__xludf.DUMMYFUNCTION("""COMPUTED_VALUE"""),"Haiti")</f>
        <v>Haiti</v>
      </c>
      <c r="F100" s="14" t="str">
        <f ca="1">IFERROR(__xludf.DUMMYFUNCTION("""COMPUTED_VALUE"""),"Гаіці")</f>
        <v>Гаіці</v>
      </c>
      <c r="G100" s="14" t="str">
        <f ca="1">IFERROR(__xludf.DUMMYFUNCTION("""COMPUTED_VALUE"""),"Haiti")</f>
        <v>Haiti</v>
      </c>
      <c r="H100" s="14" t="str">
        <f ca="1">IFERROR(__xludf.DUMMYFUNCTION("""COMPUTED_VALUE"""),"Haiti")</f>
        <v>Haiti</v>
      </c>
      <c r="I100" s="14" t="str">
        <f ca="1">IFERROR(__xludf.DUMMYFUNCTION("""COMPUTED_VALUE"""),"Haití")</f>
        <v>Haití</v>
      </c>
      <c r="J100" s="14" t="str">
        <f ca="1">IFERROR(__xludf.DUMMYFUNCTION("""COMPUTED_VALUE"""),"Haiti")</f>
        <v>Haiti</v>
      </c>
      <c r="K100" s="14" t="str">
        <f ca="1">IFERROR(__xludf.DUMMYFUNCTION("""COMPUTED_VALUE"""),"Αϊτή")</f>
        <v>Αϊτή</v>
      </c>
      <c r="L100" s="14" t="str">
        <f ca="1">IFERROR(__xludf.DUMMYFUNCTION("""COMPUTED_VALUE"""),"ΑΪΤΗ")</f>
        <v>ΑΪΤΗ</v>
      </c>
      <c r="M100" s="14" t="str">
        <f ca="1">IFERROR(__xludf.DUMMYFUNCTION("""COMPUTED_VALUE"""),"Haiti")</f>
        <v>Haiti</v>
      </c>
      <c r="N100" s="14" t="str">
        <f ca="1">IFERROR(__xludf.DUMMYFUNCTION("""COMPUTED_VALUE"""),"Haiti")</f>
        <v>Haiti</v>
      </c>
      <c r="O100" s="14" t="str">
        <f ca="1">IFERROR(__xludf.DUMMYFUNCTION("""COMPUTED_VALUE"""),"Haiti")</f>
        <v>Haiti</v>
      </c>
      <c r="P100" s="14" t="str">
        <f ca="1">IFERROR(__xludf.DUMMYFUNCTION("""COMPUTED_VALUE"""),"Haiti")</f>
        <v>Haiti</v>
      </c>
      <c r="Q100" s="14" t="str">
        <f ca="1">IFERROR(__xludf.DUMMYFUNCTION("""COMPUTED_VALUE"""),"아이티")</f>
        <v>아이티</v>
      </c>
      <c r="R100" s="14" t="str">
        <f ca="1">IFERROR(__xludf.DUMMYFUNCTION("""COMPUTED_VALUE"""),"Haiti")</f>
        <v>Haiti</v>
      </c>
      <c r="S100" s="14" t="str">
        <f ca="1">IFERROR(__xludf.DUMMYFUNCTION("""COMPUTED_VALUE"""),"Haiti")</f>
        <v>Haiti</v>
      </c>
      <c r="T100" s="14" t="str">
        <f ca="1">IFERROR(__xludf.DUMMYFUNCTION("""COMPUTED_VALUE"""),"Haiti")</f>
        <v>Haiti</v>
      </c>
      <c r="U100" s="14" t="str">
        <f ca="1">IFERROR(__xludf.DUMMYFUNCTION("""COMPUTED_VALUE"""),"Haiti")</f>
        <v>Haiti</v>
      </c>
      <c r="V100" s="14" t="str">
        <f ca="1">IFERROR(__xludf.DUMMYFUNCTION("""COMPUTED_VALUE"""),"Гаити")</f>
        <v>Гаити</v>
      </c>
      <c r="W100" s="14" t="str">
        <f ca="1">IFERROR(__xludf.DUMMYFUNCTION("""COMPUTED_VALUE"""),"Haiti")</f>
        <v>Haiti</v>
      </c>
      <c r="X100" s="14" t="str">
        <f ca="1">IFERROR(__xludf.DUMMYFUNCTION("""COMPUTED_VALUE"""),"Haiti")</f>
        <v>Haiti</v>
      </c>
      <c r="Y100" s="14" t="str">
        <f ca="1">IFERROR(__xludf.DUMMYFUNCTION("""COMPUTED_VALUE"""),"Haiti")</f>
        <v>Haiti</v>
      </c>
      <c r="Z100" s="14" t="str">
        <f ca="1">IFERROR(__xludf.DUMMYFUNCTION("""COMPUTED_VALUE"""),"เฮติ")</f>
        <v>เฮติ</v>
      </c>
      <c r="AA100" s="14" t="str">
        <f ca="1">IFERROR(__xludf.DUMMYFUNCTION("""COMPUTED_VALUE"""),"Haiti")</f>
        <v>Haiti</v>
      </c>
      <c r="AB100" s="14" t="str">
        <f ca="1">IFERROR(__xludf.DUMMYFUNCTION("""COMPUTED_VALUE"""),"HAİTİ")</f>
        <v>HAİTİ</v>
      </c>
      <c r="AC100" s="14" t="str">
        <f ca="1">IFERROR(__xludf.DUMMYFUNCTION("""COMPUTED_VALUE"""),"Гаїті")</f>
        <v>Гаїті</v>
      </c>
      <c r="AD100" s="14" t="str">
        <f ca="1">IFERROR(__xludf.DUMMYFUNCTION("""COMPUTED_VALUE"""),"Haiti")</f>
        <v>Haiti</v>
      </c>
      <c r="AE100" s="14" t="str">
        <f ca="1">IFERROR(__xludf.DUMMYFUNCTION("""COMPUTED_VALUE"""),"Гаити")</f>
        <v>Гаити</v>
      </c>
      <c r="AF100" s="14"/>
    </row>
    <row r="101" spans="1:32" ht="13" x14ac:dyDescent="0.15">
      <c r="A101" s="14" t="str">
        <f ca="1">IFERROR(__xludf.DUMMYFUNCTION("""COMPUTED_VALUE"""),"HU")</f>
        <v>HU</v>
      </c>
      <c r="B101" s="14" t="str">
        <f ca="1">IFERROR(__xludf.DUMMYFUNCTION("""COMPUTED_VALUE"""),"Hungary")</f>
        <v>Hungary</v>
      </c>
      <c r="C101" s="14" t="str">
        <f ca="1">IFERROR(__xludf.DUMMYFUNCTION("""COMPUTED_VALUE"""),"المجر")</f>
        <v>المجر</v>
      </c>
      <c r="D101" s="14" t="str">
        <f ca="1">IFERROR(__xludf.DUMMYFUNCTION("""COMPUTED_VALUE"""),"Унгария")</f>
        <v>Унгария</v>
      </c>
      <c r="E101" s="14" t="str">
        <f ca="1">IFERROR(__xludf.DUMMYFUNCTION("""COMPUTED_VALUE"""),"Hungria")</f>
        <v>Hungria</v>
      </c>
      <c r="F101" s="14" t="str">
        <f ca="1">IFERROR(__xludf.DUMMYFUNCTION("""COMPUTED_VALUE"""),"Венгрыя")</f>
        <v>Венгрыя</v>
      </c>
      <c r="G101" s="14" t="str">
        <f ca="1">IFERROR(__xludf.DUMMYFUNCTION("""COMPUTED_VALUE"""),"Maďarsko")</f>
        <v>Maďarsko</v>
      </c>
      <c r="H101" s="14" t="str">
        <f ca="1">IFERROR(__xludf.DUMMYFUNCTION("""COMPUTED_VALUE"""),"Ungarn")</f>
        <v>Ungarn</v>
      </c>
      <c r="I101" s="14" t="str">
        <f ca="1">IFERROR(__xludf.DUMMYFUNCTION("""COMPUTED_VALUE"""),"Hungría")</f>
        <v>Hungría</v>
      </c>
      <c r="J101" s="14" t="str">
        <f ca="1">IFERROR(__xludf.DUMMYFUNCTION("""COMPUTED_VALUE"""),"Unkari")</f>
        <v>Unkari</v>
      </c>
      <c r="K101" s="14" t="str">
        <f ca="1">IFERROR(__xludf.DUMMYFUNCTION("""COMPUTED_VALUE"""),"Ουγγαρία")</f>
        <v>Ουγγαρία</v>
      </c>
      <c r="L101" s="14" t="str">
        <f ca="1">IFERROR(__xludf.DUMMYFUNCTION("""COMPUTED_VALUE"""),"ΟΥΓΓΑΡΙΑ")</f>
        <v>ΟΥΓΓΑΡΙΑ</v>
      </c>
      <c r="M101" s="14" t="str">
        <f ca="1">IFERROR(__xludf.DUMMYFUNCTION("""COMPUTED_VALUE"""),"Mađarska")</f>
        <v>Mađarska</v>
      </c>
      <c r="N101" s="14" t="str">
        <f ca="1">IFERROR(__xludf.DUMMYFUNCTION("""COMPUTED_VALUE"""),"Magyarország")</f>
        <v>Magyarország</v>
      </c>
      <c r="O101" s="14" t="str">
        <f ca="1">IFERROR(__xludf.DUMMYFUNCTION("""COMPUTED_VALUE"""),"Hongaria")</f>
        <v>Hongaria</v>
      </c>
      <c r="P101" s="14" t="str">
        <f ca="1">IFERROR(__xludf.DUMMYFUNCTION("""COMPUTED_VALUE"""),"Ungheria")</f>
        <v>Ungheria</v>
      </c>
      <c r="Q101" s="14" t="str">
        <f ca="1">IFERROR(__xludf.DUMMYFUNCTION("""COMPUTED_VALUE"""),"헝가리")</f>
        <v>헝가리</v>
      </c>
      <c r="R101" s="14" t="str">
        <f ca="1">IFERROR(__xludf.DUMMYFUNCTION("""COMPUTED_VALUE"""),"Węgry")</f>
        <v>Węgry</v>
      </c>
      <c r="S101" s="14" t="str">
        <f ca="1">IFERROR(__xludf.DUMMYFUNCTION("""COMPUTED_VALUE"""),"Hungria")</f>
        <v>Hungria</v>
      </c>
      <c r="T101" s="14" t="str">
        <f ca="1">IFERROR(__xludf.DUMMYFUNCTION("""COMPUTED_VALUE"""),"Ungaria")</f>
        <v>Ungaria</v>
      </c>
      <c r="U101" s="14" t="str">
        <f ca="1">IFERROR(__xludf.DUMMYFUNCTION("""COMPUTED_VALUE"""),"Mađarska")</f>
        <v>Mađarska</v>
      </c>
      <c r="V101" s="14" t="str">
        <f ca="1">IFERROR(__xludf.DUMMYFUNCTION("""COMPUTED_VALUE"""),"Венгрия")</f>
        <v>Венгрия</v>
      </c>
      <c r="W101" s="14" t="str">
        <f ca="1">IFERROR(__xludf.DUMMYFUNCTION("""COMPUTED_VALUE"""),"Ungern")</f>
        <v>Ungern</v>
      </c>
      <c r="X101" s="14" t="str">
        <f ca="1">IFERROR(__xludf.DUMMYFUNCTION("""COMPUTED_VALUE"""),"Madžarska")</f>
        <v>Madžarska</v>
      </c>
      <c r="Y101" s="14" t="str">
        <f ca="1">IFERROR(__xludf.DUMMYFUNCTION("""COMPUTED_VALUE"""),"Maďarsko")</f>
        <v>Maďarsko</v>
      </c>
      <c r="Z101" s="14" t="str">
        <f ca="1">IFERROR(__xludf.DUMMYFUNCTION("""COMPUTED_VALUE"""),"ฮังการี")</f>
        <v>ฮังการี</v>
      </c>
      <c r="AA101" s="14" t="str">
        <f ca="1">IFERROR(__xludf.DUMMYFUNCTION("""COMPUTED_VALUE"""),"Macaristan")</f>
        <v>Macaristan</v>
      </c>
      <c r="AB101" s="14" t="str">
        <f ca="1">IFERROR(__xludf.DUMMYFUNCTION("""COMPUTED_VALUE"""),"MACARİSTAN")</f>
        <v>MACARİSTAN</v>
      </c>
      <c r="AC101" s="14" t="str">
        <f ca="1">IFERROR(__xludf.DUMMYFUNCTION("""COMPUTED_VALUE"""),"Угорщина")</f>
        <v>Угорщина</v>
      </c>
      <c r="AD101" s="14" t="str">
        <f ca="1">IFERROR(__xludf.DUMMYFUNCTION("""COMPUTED_VALUE"""),"Hungary")</f>
        <v>Hungary</v>
      </c>
      <c r="AE101" s="14" t="str">
        <f ca="1">IFERROR(__xludf.DUMMYFUNCTION("""COMPUTED_VALUE"""),"Мажарстан")</f>
        <v>Мажарстан</v>
      </c>
      <c r="AF101" s="14"/>
    </row>
    <row r="102" spans="1:32" ht="13" x14ac:dyDescent="0.15">
      <c r="A102" s="14" t="str">
        <f ca="1">IFERROR(__xludf.DUMMYFUNCTION("""COMPUTED_VALUE"""),"ID")</f>
        <v>ID</v>
      </c>
      <c r="B102" s="14" t="str">
        <f ca="1">IFERROR(__xludf.DUMMYFUNCTION("""COMPUTED_VALUE"""),"Indonesia")</f>
        <v>Indonesia</v>
      </c>
      <c r="C102" s="14" t="str">
        <f ca="1">IFERROR(__xludf.DUMMYFUNCTION("""COMPUTED_VALUE"""),"اندونيسيا")</f>
        <v>اندونيسيا</v>
      </c>
      <c r="D102" s="14" t="str">
        <f ca="1">IFERROR(__xludf.DUMMYFUNCTION("""COMPUTED_VALUE"""),"Индонезия")</f>
        <v>Индонезия</v>
      </c>
      <c r="E102" s="14" t="str">
        <f ca="1">IFERROR(__xludf.DUMMYFUNCTION("""COMPUTED_VALUE"""),"Indonésia")</f>
        <v>Indonésia</v>
      </c>
      <c r="F102" s="14" t="str">
        <f ca="1">IFERROR(__xludf.DUMMYFUNCTION("""COMPUTED_VALUE"""),"Інданезія")</f>
        <v>Інданезія</v>
      </c>
      <c r="G102" s="14" t="str">
        <f ca="1">IFERROR(__xludf.DUMMYFUNCTION("""COMPUTED_VALUE"""),"Indonésie")</f>
        <v>Indonésie</v>
      </c>
      <c r="H102" s="14" t="str">
        <f ca="1">IFERROR(__xludf.DUMMYFUNCTION("""COMPUTED_VALUE"""),"Indonesien")</f>
        <v>Indonesien</v>
      </c>
      <c r="I102" s="14" t="str">
        <f ca="1">IFERROR(__xludf.DUMMYFUNCTION("""COMPUTED_VALUE"""),"Indonesia")</f>
        <v>Indonesia</v>
      </c>
      <c r="J102" s="14" t="str">
        <f ca="1">IFERROR(__xludf.DUMMYFUNCTION("""COMPUTED_VALUE"""),"Indonesia")</f>
        <v>Indonesia</v>
      </c>
      <c r="K102" s="14" t="str">
        <f ca="1">IFERROR(__xludf.DUMMYFUNCTION("""COMPUTED_VALUE"""),"Ινδονησία")</f>
        <v>Ινδονησία</v>
      </c>
      <c r="L102" s="14" t="str">
        <f ca="1">IFERROR(__xludf.DUMMYFUNCTION("""COMPUTED_VALUE"""),"ΙΝΔΟΝΗΣΙΑ")</f>
        <v>ΙΝΔΟΝΗΣΙΑ</v>
      </c>
      <c r="M102" s="14" t="str">
        <f ca="1">IFERROR(__xludf.DUMMYFUNCTION("""COMPUTED_VALUE"""),"Indonezija")</f>
        <v>Indonezija</v>
      </c>
      <c r="N102" s="14" t="str">
        <f ca="1">IFERROR(__xludf.DUMMYFUNCTION("""COMPUTED_VALUE"""),"Indonézia")</f>
        <v>Indonézia</v>
      </c>
      <c r="O102" s="14" t="str">
        <f ca="1">IFERROR(__xludf.DUMMYFUNCTION("""COMPUTED_VALUE"""),"Indonesia")</f>
        <v>Indonesia</v>
      </c>
      <c r="P102" s="14" t="str">
        <f ca="1">IFERROR(__xludf.DUMMYFUNCTION("""COMPUTED_VALUE"""),"Indonesia")</f>
        <v>Indonesia</v>
      </c>
      <c r="Q102" s="14" t="str">
        <f ca="1">IFERROR(__xludf.DUMMYFUNCTION("""COMPUTED_VALUE"""),"인도네시아")</f>
        <v>인도네시아</v>
      </c>
      <c r="R102" s="14" t="str">
        <f ca="1">IFERROR(__xludf.DUMMYFUNCTION("""COMPUTED_VALUE"""),"Indonezja")</f>
        <v>Indonezja</v>
      </c>
      <c r="S102" s="14" t="str">
        <f ca="1">IFERROR(__xludf.DUMMYFUNCTION("""COMPUTED_VALUE"""),"Indonésia")</f>
        <v>Indonésia</v>
      </c>
      <c r="T102" s="14" t="str">
        <f ca="1">IFERROR(__xludf.DUMMYFUNCTION("""COMPUTED_VALUE"""),"Indonezia")</f>
        <v>Indonezia</v>
      </c>
      <c r="U102" s="14" t="str">
        <f ca="1">IFERROR(__xludf.DUMMYFUNCTION("""COMPUTED_VALUE"""),"Indonezija")</f>
        <v>Indonezija</v>
      </c>
      <c r="V102" s="14" t="str">
        <f ca="1">IFERROR(__xludf.DUMMYFUNCTION("""COMPUTED_VALUE"""),"Индонезия")</f>
        <v>Индонезия</v>
      </c>
      <c r="W102" s="14" t="str">
        <f ca="1">IFERROR(__xludf.DUMMYFUNCTION("""COMPUTED_VALUE"""),"Indonesien")</f>
        <v>Indonesien</v>
      </c>
      <c r="X102" s="14" t="str">
        <f ca="1">IFERROR(__xludf.DUMMYFUNCTION("""COMPUTED_VALUE"""),"Indonezija")</f>
        <v>Indonezija</v>
      </c>
      <c r="Y102" s="14" t="str">
        <f ca="1">IFERROR(__xludf.DUMMYFUNCTION("""COMPUTED_VALUE"""),"Indonézia")</f>
        <v>Indonézia</v>
      </c>
      <c r="Z102" s="14" t="str">
        <f ca="1">IFERROR(__xludf.DUMMYFUNCTION("""COMPUTED_VALUE"""),"อินโดนีเซีย")</f>
        <v>อินโดนีเซีย</v>
      </c>
      <c r="AA102" s="14" t="str">
        <f ca="1">IFERROR(__xludf.DUMMYFUNCTION("""COMPUTED_VALUE"""),"Endonezya")</f>
        <v>Endonezya</v>
      </c>
      <c r="AB102" s="14" t="str">
        <f ca="1">IFERROR(__xludf.DUMMYFUNCTION("""COMPUTED_VALUE"""),"ENDONEZYA")</f>
        <v>ENDONEZYA</v>
      </c>
      <c r="AC102" s="14" t="str">
        <f ca="1">IFERROR(__xludf.DUMMYFUNCTION("""COMPUTED_VALUE"""),"Індонезія")</f>
        <v>Індонезія</v>
      </c>
      <c r="AD102" s="14" t="str">
        <f ca="1">IFERROR(__xludf.DUMMYFUNCTION("""COMPUTED_VALUE"""),"Indonesia")</f>
        <v>Indonesia</v>
      </c>
      <c r="AE102" s="14" t="str">
        <f ca="1">IFERROR(__xludf.DUMMYFUNCTION("""COMPUTED_VALUE"""),"Индонезия")</f>
        <v>Индонезия</v>
      </c>
      <c r="AF102" s="14"/>
    </row>
    <row r="103" spans="1:32" ht="13" x14ac:dyDescent="0.15">
      <c r="A103" s="14" t="str">
        <f ca="1">IFERROR(__xludf.DUMMYFUNCTION("""COMPUTED_VALUE"""),"IE")</f>
        <v>IE</v>
      </c>
      <c r="B103" s="14" t="str">
        <f ca="1">IFERROR(__xludf.DUMMYFUNCTION("""COMPUTED_VALUE"""),"Ireland")</f>
        <v>Ireland</v>
      </c>
      <c r="C103" s="14" t="str">
        <f ca="1">IFERROR(__xludf.DUMMYFUNCTION("""COMPUTED_VALUE"""),"أيرلندا")</f>
        <v>أيرلندا</v>
      </c>
      <c r="D103" s="14" t="str">
        <f ca="1">IFERROR(__xludf.DUMMYFUNCTION("""COMPUTED_VALUE"""),"Ирландия")</f>
        <v>Ирландия</v>
      </c>
      <c r="E103" s="14" t="str">
        <f ca="1">IFERROR(__xludf.DUMMYFUNCTION("""COMPUTED_VALUE"""),"Irlanda")</f>
        <v>Irlanda</v>
      </c>
      <c r="F103" s="14" t="str">
        <f ca="1">IFERROR(__xludf.DUMMYFUNCTION("""COMPUTED_VALUE"""),"Ірландыя")</f>
        <v>Ірландыя</v>
      </c>
      <c r="G103" s="14" t="str">
        <f ca="1">IFERROR(__xludf.DUMMYFUNCTION("""COMPUTED_VALUE"""),"Irsko")</f>
        <v>Irsko</v>
      </c>
      <c r="H103" s="14" t="str">
        <f ca="1">IFERROR(__xludf.DUMMYFUNCTION("""COMPUTED_VALUE"""),"Irland")</f>
        <v>Irland</v>
      </c>
      <c r="I103" s="14" t="str">
        <f ca="1">IFERROR(__xludf.DUMMYFUNCTION("""COMPUTED_VALUE"""),"Irlanda")</f>
        <v>Irlanda</v>
      </c>
      <c r="J103" s="14" t="str">
        <f ca="1">IFERROR(__xludf.DUMMYFUNCTION("""COMPUTED_VALUE"""),"Irlanti")</f>
        <v>Irlanti</v>
      </c>
      <c r="K103" s="14" t="str">
        <f ca="1">IFERROR(__xludf.DUMMYFUNCTION("""COMPUTED_VALUE"""),"Ιρλανδία")</f>
        <v>Ιρλανδία</v>
      </c>
      <c r="L103" s="14" t="str">
        <f ca="1">IFERROR(__xludf.DUMMYFUNCTION("""COMPUTED_VALUE"""),"ΙΡΛΑΝΔΙΑ")</f>
        <v>ΙΡΛΑΝΔΙΑ</v>
      </c>
      <c r="M103" s="14" t="str">
        <f ca="1">IFERROR(__xludf.DUMMYFUNCTION("""COMPUTED_VALUE"""),"Irska")</f>
        <v>Irska</v>
      </c>
      <c r="N103" s="14" t="str">
        <f ca="1">IFERROR(__xludf.DUMMYFUNCTION("""COMPUTED_VALUE"""),"Írország")</f>
        <v>Írország</v>
      </c>
      <c r="O103" s="14" t="str">
        <f ca="1">IFERROR(__xludf.DUMMYFUNCTION("""COMPUTED_VALUE"""),"Irlandia")</f>
        <v>Irlandia</v>
      </c>
      <c r="P103" s="14" t="str">
        <f ca="1">IFERROR(__xludf.DUMMYFUNCTION("""COMPUTED_VALUE"""),"Irlanda")</f>
        <v>Irlanda</v>
      </c>
      <c r="Q103" s="14" t="str">
        <f ca="1">IFERROR(__xludf.DUMMYFUNCTION("""COMPUTED_VALUE"""),"아일랜드")</f>
        <v>아일랜드</v>
      </c>
      <c r="R103" s="14" t="str">
        <f ca="1">IFERROR(__xludf.DUMMYFUNCTION("""COMPUTED_VALUE"""),"Irlandia")</f>
        <v>Irlandia</v>
      </c>
      <c r="S103" s="14" t="str">
        <f ca="1">IFERROR(__xludf.DUMMYFUNCTION("""COMPUTED_VALUE"""),"Irlanda")</f>
        <v>Irlanda</v>
      </c>
      <c r="T103" s="14" t="str">
        <f ca="1">IFERROR(__xludf.DUMMYFUNCTION("""COMPUTED_VALUE"""),"Irlanda")</f>
        <v>Irlanda</v>
      </c>
      <c r="U103" s="14" t="str">
        <f ca="1">IFERROR(__xludf.DUMMYFUNCTION("""COMPUTED_VALUE"""),"Irska")</f>
        <v>Irska</v>
      </c>
      <c r="V103" s="14" t="str">
        <f ca="1">IFERROR(__xludf.DUMMYFUNCTION("""COMPUTED_VALUE"""),"Ирландия")</f>
        <v>Ирландия</v>
      </c>
      <c r="W103" s="14" t="str">
        <f ca="1">IFERROR(__xludf.DUMMYFUNCTION("""COMPUTED_VALUE"""),"Irland")</f>
        <v>Irland</v>
      </c>
      <c r="X103" s="14" t="str">
        <f ca="1">IFERROR(__xludf.DUMMYFUNCTION("""COMPUTED_VALUE"""),"Irska")</f>
        <v>Irska</v>
      </c>
      <c r="Y103" s="14" t="str">
        <f ca="1">IFERROR(__xludf.DUMMYFUNCTION("""COMPUTED_VALUE"""),"Írsko")</f>
        <v>Írsko</v>
      </c>
      <c r="Z103" s="14" t="str">
        <f ca="1">IFERROR(__xludf.DUMMYFUNCTION("""COMPUTED_VALUE"""),"ไอร์แลนด์")</f>
        <v>ไอร์แลนด์</v>
      </c>
      <c r="AA103" s="14" t="str">
        <f ca="1">IFERROR(__xludf.DUMMYFUNCTION("""COMPUTED_VALUE"""),"İrlanda")</f>
        <v>İrlanda</v>
      </c>
      <c r="AB103" s="14" t="str">
        <f ca="1">IFERROR(__xludf.DUMMYFUNCTION("""COMPUTED_VALUE"""),"İRLANDA")</f>
        <v>İRLANDA</v>
      </c>
      <c r="AC103" s="14" t="str">
        <f ca="1">IFERROR(__xludf.DUMMYFUNCTION("""COMPUTED_VALUE"""),"Ірландія")</f>
        <v>Ірландія</v>
      </c>
      <c r="AD103" s="14" t="str">
        <f ca="1">IFERROR(__xludf.DUMMYFUNCTION("""COMPUTED_VALUE"""),"Ireland")</f>
        <v>Ireland</v>
      </c>
      <c r="AE103" s="14" t="str">
        <f ca="1">IFERROR(__xludf.DUMMYFUNCTION("""COMPUTED_VALUE"""),"Ирландия")</f>
        <v>Ирландия</v>
      </c>
      <c r="AF103" s="14"/>
    </row>
    <row r="104" spans="1:32" ht="13" x14ac:dyDescent="0.15">
      <c r="A104" s="14" t="str">
        <f ca="1">IFERROR(__xludf.DUMMYFUNCTION("""COMPUTED_VALUE"""),"IL")</f>
        <v>IL</v>
      </c>
      <c r="B104" s="14" t="str">
        <f ca="1">IFERROR(__xludf.DUMMYFUNCTION("""COMPUTED_VALUE"""),"Israel")</f>
        <v>Israel</v>
      </c>
      <c r="C104" s="14" t="str">
        <f ca="1">IFERROR(__xludf.DUMMYFUNCTION("""COMPUTED_VALUE"""),"اسرائيل")</f>
        <v>اسرائيل</v>
      </c>
      <c r="D104" s="14" t="str">
        <f ca="1">IFERROR(__xludf.DUMMYFUNCTION("""COMPUTED_VALUE"""),"Израел")</f>
        <v>Израел</v>
      </c>
      <c r="E104" s="14" t="str">
        <f ca="1">IFERROR(__xludf.DUMMYFUNCTION("""COMPUTED_VALUE"""),"Israel")</f>
        <v>Israel</v>
      </c>
      <c r="F104" s="14" t="str">
        <f ca="1">IFERROR(__xludf.DUMMYFUNCTION("""COMPUTED_VALUE"""),"Ізраіль")</f>
        <v>Ізраіль</v>
      </c>
      <c r="G104" s="14" t="str">
        <f ca="1">IFERROR(__xludf.DUMMYFUNCTION("""COMPUTED_VALUE"""),"Izrael")</f>
        <v>Izrael</v>
      </c>
      <c r="H104" s="14" t="str">
        <f ca="1">IFERROR(__xludf.DUMMYFUNCTION("""COMPUTED_VALUE"""),"Israel")</f>
        <v>Israel</v>
      </c>
      <c r="I104" s="14" t="str">
        <f ca="1">IFERROR(__xludf.DUMMYFUNCTION("""COMPUTED_VALUE"""),"Israel")</f>
        <v>Israel</v>
      </c>
      <c r="J104" s="14" t="str">
        <f ca="1">IFERROR(__xludf.DUMMYFUNCTION("""COMPUTED_VALUE"""),"Israel")</f>
        <v>Israel</v>
      </c>
      <c r="K104" s="14" t="str">
        <f ca="1">IFERROR(__xludf.DUMMYFUNCTION("""COMPUTED_VALUE"""),"Ισραήλ")</f>
        <v>Ισραήλ</v>
      </c>
      <c r="L104" s="14" t="str">
        <f ca="1">IFERROR(__xludf.DUMMYFUNCTION("""COMPUTED_VALUE"""),"ΙΣΡΑΗΛ")</f>
        <v>ΙΣΡΑΗΛ</v>
      </c>
      <c r="M104" s="14" t="str">
        <f ca="1">IFERROR(__xludf.DUMMYFUNCTION("""COMPUTED_VALUE"""),"Izrael")</f>
        <v>Izrael</v>
      </c>
      <c r="N104" s="14" t="str">
        <f ca="1">IFERROR(__xludf.DUMMYFUNCTION("""COMPUTED_VALUE"""),"Izrael")</f>
        <v>Izrael</v>
      </c>
      <c r="O104" s="14" t="str">
        <f ca="1">IFERROR(__xludf.DUMMYFUNCTION("""COMPUTED_VALUE"""),"Israel")</f>
        <v>Israel</v>
      </c>
      <c r="P104" s="14" t="str">
        <f ca="1">IFERROR(__xludf.DUMMYFUNCTION("""COMPUTED_VALUE"""),"Israele")</f>
        <v>Israele</v>
      </c>
      <c r="Q104" s="14" t="str">
        <f ca="1">IFERROR(__xludf.DUMMYFUNCTION("""COMPUTED_VALUE"""),"이스라엘")</f>
        <v>이스라엘</v>
      </c>
      <c r="R104" s="14" t="str">
        <f ca="1">IFERROR(__xludf.DUMMYFUNCTION("""COMPUTED_VALUE"""),"Izrael")</f>
        <v>Izrael</v>
      </c>
      <c r="S104" s="14" t="str">
        <f ca="1">IFERROR(__xludf.DUMMYFUNCTION("""COMPUTED_VALUE"""),"Israel")</f>
        <v>Israel</v>
      </c>
      <c r="T104" s="14" t="str">
        <f ca="1">IFERROR(__xludf.DUMMYFUNCTION("""COMPUTED_VALUE"""),"Israel")</f>
        <v>Israel</v>
      </c>
      <c r="U104" s="14" t="str">
        <f ca="1">IFERROR(__xludf.DUMMYFUNCTION("""COMPUTED_VALUE"""),"Izrael")</f>
        <v>Izrael</v>
      </c>
      <c r="V104" s="14" t="str">
        <f ca="1">IFERROR(__xludf.DUMMYFUNCTION("""COMPUTED_VALUE"""),"Израиль")</f>
        <v>Израиль</v>
      </c>
      <c r="W104" s="14" t="str">
        <f ca="1">IFERROR(__xludf.DUMMYFUNCTION("""COMPUTED_VALUE"""),"Israel")</f>
        <v>Israel</v>
      </c>
      <c r="X104" s="14" t="str">
        <f ca="1">IFERROR(__xludf.DUMMYFUNCTION("""COMPUTED_VALUE"""),"Izrael")</f>
        <v>Izrael</v>
      </c>
      <c r="Y104" s="14" t="str">
        <f ca="1">IFERROR(__xludf.DUMMYFUNCTION("""COMPUTED_VALUE"""),"Izrael")</f>
        <v>Izrael</v>
      </c>
      <c r="Z104" s="14" t="str">
        <f ca="1">IFERROR(__xludf.DUMMYFUNCTION("""COMPUTED_VALUE"""),"อิสราเอล")</f>
        <v>อิสราเอล</v>
      </c>
      <c r="AA104" s="14" t="str">
        <f ca="1">IFERROR(__xludf.DUMMYFUNCTION("""COMPUTED_VALUE"""),"İsrail")</f>
        <v>İsrail</v>
      </c>
      <c r="AB104" s="14" t="str">
        <f ca="1">IFERROR(__xludf.DUMMYFUNCTION("""COMPUTED_VALUE"""),"İSRAİL")</f>
        <v>İSRAİL</v>
      </c>
      <c r="AC104" s="14" t="str">
        <f ca="1">IFERROR(__xludf.DUMMYFUNCTION("""COMPUTED_VALUE"""),"Ізраїль")</f>
        <v>Ізраїль</v>
      </c>
      <c r="AD104" s="14" t="str">
        <f ca="1">IFERROR(__xludf.DUMMYFUNCTION("""COMPUTED_VALUE"""),"Israel")</f>
        <v>Israel</v>
      </c>
      <c r="AE104" s="14" t="str">
        <f ca="1">IFERROR(__xludf.DUMMYFUNCTION("""COMPUTED_VALUE"""),"Израиль")</f>
        <v>Израиль</v>
      </c>
      <c r="AF104" s="14"/>
    </row>
    <row r="105" spans="1:32" ht="13" x14ac:dyDescent="0.15">
      <c r="A105" s="14" t="str">
        <f ca="1">IFERROR(__xludf.DUMMYFUNCTION("""COMPUTED_VALUE"""),"IM")</f>
        <v>IM</v>
      </c>
      <c r="B105" s="14" t="str">
        <f ca="1">IFERROR(__xludf.DUMMYFUNCTION("""COMPUTED_VALUE"""),"Isle of Man")</f>
        <v>Isle of Man</v>
      </c>
      <c r="C105" s="14" t="str">
        <f ca="1">IFERROR(__xludf.DUMMYFUNCTION("""COMPUTED_VALUE"""),"جزيرة مان")</f>
        <v>جزيرة مان</v>
      </c>
      <c r="D105" s="14" t="str">
        <f ca="1">IFERROR(__xludf.DUMMYFUNCTION("""COMPUTED_VALUE"""),"Ман")</f>
        <v>Ман</v>
      </c>
      <c r="E105" s="14" t="str">
        <f ca="1">IFERROR(__xludf.DUMMYFUNCTION("""COMPUTED_VALUE"""),"Man, Ilha de")</f>
        <v>Man, Ilha de</v>
      </c>
      <c r="F105" s="14"/>
      <c r="G105" s="14" t="str">
        <f ca="1">IFERROR(__xludf.DUMMYFUNCTION("""COMPUTED_VALUE"""),"Ostrov Man")</f>
        <v>Ostrov Man</v>
      </c>
      <c r="H105" s="14" t="str">
        <f ca="1">IFERROR(__xludf.DUMMYFUNCTION("""COMPUTED_VALUE"""),"Insel Man")</f>
        <v>Insel Man</v>
      </c>
      <c r="I105" s="14" t="str">
        <f ca="1">IFERROR(__xludf.DUMMYFUNCTION("""COMPUTED_VALUE"""),"Isla de Man")</f>
        <v>Isla de Man</v>
      </c>
      <c r="J105" s="14" t="str">
        <f ca="1">IFERROR(__xludf.DUMMYFUNCTION("""COMPUTED_VALUE"""),"Mansaari")</f>
        <v>Mansaari</v>
      </c>
      <c r="K105" s="14" t="str">
        <f ca="1">IFERROR(__xludf.DUMMYFUNCTION("""COMPUTED_VALUE"""),"Νήσος Μαν")</f>
        <v>Νήσος Μαν</v>
      </c>
      <c r="L105" s="14" t="str">
        <f ca="1">IFERROR(__xludf.DUMMYFUNCTION("""COMPUTED_VALUE"""),"ΝΗΣΟΣ ΜΑΝ")</f>
        <v>ΝΗΣΟΣ ΜΑΝ</v>
      </c>
      <c r="M105" s="14" t="str">
        <f ca="1">IFERROR(__xludf.DUMMYFUNCTION("""COMPUTED_VALUE"""),"Otok Man")</f>
        <v>Otok Man</v>
      </c>
      <c r="N105" s="14" t="str">
        <f ca="1">IFERROR(__xludf.DUMMYFUNCTION("""COMPUTED_VALUE"""),"Man")</f>
        <v>Man</v>
      </c>
      <c r="O105" s="14" t="str">
        <f ca="1">IFERROR(__xludf.DUMMYFUNCTION("""COMPUTED_VALUE"""),"Man, Pulau")</f>
        <v>Man, Pulau</v>
      </c>
      <c r="P105" s="14" t="str">
        <f ca="1">IFERROR(__xludf.DUMMYFUNCTION("""COMPUTED_VALUE"""),"Isola di Man")</f>
        <v>Isola di Man</v>
      </c>
      <c r="Q105" s="14" t="str">
        <f ca="1">IFERROR(__xludf.DUMMYFUNCTION("""COMPUTED_VALUE"""),"맨 섬")</f>
        <v>맨 섬</v>
      </c>
      <c r="R105" s="14" t="str">
        <f ca="1">IFERROR(__xludf.DUMMYFUNCTION("""COMPUTED_VALUE"""),"Wyspa Man")</f>
        <v>Wyspa Man</v>
      </c>
      <c r="S105" s="14" t="str">
        <f ca="1">IFERROR(__xludf.DUMMYFUNCTION("""COMPUTED_VALUE"""),"Man, Ilha de")</f>
        <v>Man, Ilha de</v>
      </c>
      <c r="T105" s="14" t="str">
        <f ca="1">IFERROR(__xludf.DUMMYFUNCTION("""COMPUTED_VALUE"""),"Insula Man")</f>
        <v>Insula Man</v>
      </c>
      <c r="U105" s="14" t="str">
        <f ca="1">IFERROR(__xludf.DUMMYFUNCTION("""COMPUTED_VALUE"""),"Ostrvo Men")</f>
        <v>Ostrvo Men</v>
      </c>
      <c r="V105" s="14" t="str">
        <f ca="1">IFERROR(__xludf.DUMMYFUNCTION("""COMPUTED_VALUE"""),"Остров Мэн")</f>
        <v>Остров Мэн</v>
      </c>
      <c r="W105" s="14" t="str">
        <f ca="1">IFERROR(__xludf.DUMMYFUNCTION("""COMPUTED_VALUE"""),"Isle of Man")</f>
        <v>Isle of Man</v>
      </c>
      <c r="X105" s="14"/>
      <c r="Y105" s="14" t="str">
        <f ca="1">IFERROR(__xludf.DUMMYFUNCTION("""COMPUTED_VALUE"""),"Ostrov Man")</f>
        <v>Ostrov Man</v>
      </c>
      <c r="Z105" s="14" t="str">
        <f ca="1">IFERROR(__xludf.DUMMYFUNCTION("""COMPUTED_VALUE"""),"ไอล์ออฟแมน")</f>
        <v>ไอล์ออฟแมน</v>
      </c>
      <c r="AA105" s="14" t="str">
        <f ca="1">IFERROR(__xludf.DUMMYFUNCTION("""COMPUTED_VALUE"""),"Man Adası")</f>
        <v>Man Adası</v>
      </c>
      <c r="AB105" s="14" t="str">
        <f ca="1">IFERROR(__xludf.DUMMYFUNCTION("""COMPUTED_VALUE"""),"MAN ADASI")</f>
        <v>MAN ADASI</v>
      </c>
      <c r="AC105" s="14" t="str">
        <f ca="1">IFERROR(__xludf.DUMMYFUNCTION("""COMPUTED_VALUE"""),"Острів Мен")</f>
        <v>Острів Мен</v>
      </c>
      <c r="AD105" s="14" t="str">
        <f ca="1">IFERROR(__xludf.DUMMYFUNCTION("""COMPUTED_VALUE"""),"Đảo Man")</f>
        <v>Đảo Man</v>
      </c>
      <c r="AE105" s="14" t="str">
        <f ca="1">IFERROR(__xludf.DUMMYFUNCTION("""COMPUTED_VALUE"""),"")</f>
        <v/>
      </c>
      <c r="AF105" s="14"/>
    </row>
    <row r="106" spans="1:32" ht="13" x14ac:dyDescent="0.15">
      <c r="A106" s="14" t="str">
        <f ca="1">IFERROR(__xludf.DUMMYFUNCTION("""COMPUTED_VALUE"""),"IN")</f>
        <v>IN</v>
      </c>
      <c r="B106" s="14" t="str">
        <f ca="1">IFERROR(__xludf.DUMMYFUNCTION("""COMPUTED_VALUE"""),"India")</f>
        <v>India</v>
      </c>
      <c r="C106" s="14" t="str">
        <f ca="1">IFERROR(__xludf.DUMMYFUNCTION("""COMPUTED_VALUE"""),"الهند")</f>
        <v>الهند</v>
      </c>
      <c r="D106" s="14" t="str">
        <f ca="1">IFERROR(__xludf.DUMMYFUNCTION("""COMPUTED_VALUE"""),"Индия")</f>
        <v>Индия</v>
      </c>
      <c r="E106" s="14" t="str">
        <f ca="1">IFERROR(__xludf.DUMMYFUNCTION("""COMPUTED_VALUE"""),"Índia")</f>
        <v>Índia</v>
      </c>
      <c r="F106" s="14" t="str">
        <f ca="1">IFERROR(__xludf.DUMMYFUNCTION("""COMPUTED_VALUE"""),"Індыя")</f>
        <v>Індыя</v>
      </c>
      <c r="G106" s="14" t="str">
        <f ca="1">IFERROR(__xludf.DUMMYFUNCTION("""COMPUTED_VALUE"""),"Indie")</f>
        <v>Indie</v>
      </c>
      <c r="H106" s="14" t="str">
        <f ca="1">IFERROR(__xludf.DUMMYFUNCTION("""COMPUTED_VALUE"""),"Indien")</f>
        <v>Indien</v>
      </c>
      <c r="I106" s="14" t="str">
        <f ca="1">IFERROR(__xludf.DUMMYFUNCTION("""COMPUTED_VALUE"""),"India")</f>
        <v>India</v>
      </c>
      <c r="J106" s="14" t="str">
        <f ca="1">IFERROR(__xludf.DUMMYFUNCTION("""COMPUTED_VALUE"""),"Intia")</f>
        <v>Intia</v>
      </c>
      <c r="K106" s="14" t="str">
        <f ca="1">IFERROR(__xludf.DUMMYFUNCTION("""COMPUTED_VALUE"""),"Ινδία")</f>
        <v>Ινδία</v>
      </c>
      <c r="L106" s="14" t="str">
        <f ca="1">IFERROR(__xludf.DUMMYFUNCTION("""COMPUTED_VALUE"""),"ΙΝΔΙΑ")</f>
        <v>ΙΝΔΙΑ</v>
      </c>
      <c r="M106" s="14" t="str">
        <f ca="1">IFERROR(__xludf.DUMMYFUNCTION("""COMPUTED_VALUE"""),"Indija")</f>
        <v>Indija</v>
      </c>
      <c r="N106" s="14" t="str">
        <f ca="1">IFERROR(__xludf.DUMMYFUNCTION("""COMPUTED_VALUE"""),"India")</f>
        <v>India</v>
      </c>
      <c r="O106" s="14" t="str">
        <f ca="1">IFERROR(__xludf.DUMMYFUNCTION("""COMPUTED_VALUE"""),"India")</f>
        <v>India</v>
      </c>
      <c r="P106" s="14" t="str">
        <f ca="1">IFERROR(__xludf.DUMMYFUNCTION("""COMPUTED_VALUE"""),"India")</f>
        <v>India</v>
      </c>
      <c r="Q106" s="14" t="str">
        <f ca="1">IFERROR(__xludf.DUMMYFUNCTION("""COMPUTED_VALUE"""),"인도")</f>
        <v>인도</v>
      </c>
      <c r="R106" s="14" t="str">
        <f ca="1">IFERROR(__xludf.DUMMYFUNCTION("""COMPUTED_VALUE"""),"Indie")</f>
        <v>Indie</v>
      </c>
      <c r="S106" s="14" t="str">
        <f ca="1">IFERROR(__xludf.DUMMYFUNCTION("""COMPUTED_VALUE"""),"Índia")</f>
        <v>Índia</v>
      </c>
      <c r="T106" s="14" t="str">
        <f ca="1">IFERROR(__xludf.DUMMYFUNCTION("""COMPUTED_VALUE"""),"India")</f>
        <v>India</v>
      </c>
      <c r="U106" s="14" t="str">
        <f ca="1">IFERROR(__xludf.DUMMYFUNCTION("""COMPUTED_VALUE"""),"Indija")</f>
        <v>Indija</v>
      </c>
      <c r="V106" s="14" t="str">
        <f ca="1">IFERROR(__xludf.DUMMYFUNCTION("""COMPUTED_VALUE"""),"Индия")</f>
        <v>Индия</v>
      </c>
      <c r="W106" s="14" t="str">
        <f ca="1">IFERROR(__xludf.DUMMYFUNCTION("""COMPUTED_VALUE"""),"Indien")</f>
        <v>Indien</v>
      </c>
      <c r="X106" s="14" t="str">
        <f ca="1">IFERROR(__xludf.DUMMYFUNCTION("""COMPUTED_VALUE"""),"Indija")</f>
        <v>Indija</v>
      </c>
      <c r="Y106" s="14" t="str">
        <f ca="1">IFERROR(__xludf.DUMMYFUNCTION("""COMPUTED_VALUE"""),"India")</f>
        <v>India</v>
      </c>
      <c r="Z106" s="14" t="str">
        <f ca="1">IFERROR(__xludf.DUMMYFUNCTION("""COMPUTED_VALUE"""),"อินเดีย")</f>
        <v>อินเดีย</v>
      </c>
      <c r="AA106" s="14" t="str">
        <f ca="1">IFERROR(__xludf.DUMMYFUNCTION("""COMPUTED_VALUE"""),"Hindistan")</f>
        <v>Hindistan</v>
      </c>
      <c r="AB106" s="14" t="str">
        <f ca="1">IFERROR(__xludf.DUMMYFUNCTION("""COMPUTED_VALUE"""),"HİNDİSTAN")</f>
        <v>HİNDİSTAN</v>
      </c>
      <c r="AC106" s="14" t="str">
        <f ca="1">IFERROR(__xludf.DUMMYFUNCTION("""COMPUTED_VALUE"""),"Індія")</f>
        <v>Індія</v>
      </c>
      <c r="AD106" s="14" t="str">
        <f ca="1">IFERROR(__xludf.DUMMYFUNCTION("""COMPUTED_VALUE"""),"Ấn Độ")</f>
        <v>Ấn Độ</v>
      </c>
      <c r="AE106" s="14" t="str">
        <f ca="1">IFERROR(__xludf.DUMMYFUNCTION("""COMPUTED_VALUE"""),"Үндістан")</f>
        <v>Үндістан</v>
      </c>
      <c r="AF106" s="14"/>
    </row>
    <row r="107" spans="1:32" ht="13" x14ac:dyDescent="0.15">
      <c r="A107" s="14" t="str">
        <f ca="1">IFERROR(__xludf.DUMMYFUNCTION("""COMPUTED_VALUE"""),"IO")</f>
        <v>IO</v>
      </c>
      <c r="B107" s="14" t="str">
        <f ca="1">IFERROR(__xludf.DUMMYFUNCTION("""COMPUTED_VALUE"""),"British Indian Ocean Territory")</f>
        <v>British Indian Ocean Territory</v>
      </c>
      <c r="C107" s="14" t="str">
        <f ca="1">IFERROR(__xludf.DUMMYFUNCTION("""COMPUTED_VALUE"""),"المحيط الهندي البريطاني")</f>
        <v>المحيط الهندي البريطاني</v>
      </c>
      <c r="D107" s="14" t="str">
        <f ca="1">IFERROR(__xludf.DUMMYFUNCTION("""COMPUTED_VALUE"""),"Британска индоокеанска територия")</f>
        <v>Британска индоокеанска територия</v>
      </c>
      <c r="E107" s="14" t="str">
        <f ca="1">IFERROR(__xludf.DUMMYFUNCTION("""COMPUTED_VALUE"""),"Território Britânico do Oceano Índico")</f>
        <v>Território Britânico do Oceano Índico</v>
      </c>
      <c r="F107" s="14" t="str">
        <f ca="1">IFERROR(__xludf.DUMMYFUNCTION("""COMPUTED_VALUE"""),"Брытанская тэрыторыя ў Індыйскім акіяне")</f>
        <v>Брытанская тэрыторыя ў Індыйскім акіяне</v>
      </c>
      <c r="G107" s="14" t="str">
        <f ca="1">IFERROR(__xludf.DUMMYFUNCTION("""COMPUTED_VALUE"""),"Britské indickooceánské území")</f>
        <v>Britské indickooceánské území</v>
      </c>
      <c r="H107" s="14" t="str">
        <f ca="1">IFERROR(__xludf.DUMMYFUNCTION("""COMPUTED_VALUE"""),"Britisches Territorium im Indischen Ozean")</f>
        <v>Britisches Territorium im Indischen Ozean</v>
      </c>
      <c r="I107" s="14" t="str">
        <f ca="1">IFERROR(__xludf.DUMMYFUNCTION("""COMPUTED_VALUE"""),"Territorio Británico del Océano Índico (el)")</f>
        <v>Territorio Británico del Océano Índico (el)</v>
      </c>
      <c r="J107" s="14" t="str">
        <f ca="1">IFERROR(__xludf.DUMMYFUNCTION("""COMPUTED_VALUE"""),"Brittiläinen Intian valtameren alue")</f>
        <v>Brittiläinen Intian valtameren alue</v>
      </c>
      <c r="K107" s="14" t="str">
        <f ca="1">IFERROR(__xludf.DUMMYFUNCTION("""COMPUTED_VALUE"""),"Βρετανικό Έδαφος Ινδικού Ωκεανού")</f>
        <v>Βρετανικό Έδαφος Ινδικού Ωκεανού</v>
      </c>
      <c r="L107" s="14" t="str">
        <f ca="1">IFERROR(__xludf.DUMMYFUNCTION("""COMPUTED_VALUE"""),"ΒΡΕΤΑΝΙΚΟ ΕΔΑΦΟΣ ΙΝΔΙΚΟΥ ΩΚΕΑΝΟΥ")</f>
        <v>ΒΡΕΤΑΝΙΚΟ ΕΔΑΦΟΣ ΙΝΔΙΚΟΥ ΩΚΕΑΝΟΥ</v>
      </c>
      <c r="M107" s="14" t="str">
        <f ca="1">IFERROR(__xludf.DUMMYFUNCTION("""COMPUTED_VALUE"""),"Britanski indijskooceanski teritorij")</f>
        <v>Britanski indijskooceanski teritorij</v>
      </c>
      <c r="N107" s="14" t="str">
        <f ca="1">IFERROR(__xludf.DUMMYFUNCTION("""COMPUTED_VALUE"""),"Brit Indiai-óceáni Terület")</f>
        <v>Brit Indiai-óceáni Terület</v>
      </c>
      <c r="O107" s="14" t="str">
        <f ca="1">IFERROR(__xludf.DUMMYFUNCTION("""COMPUTED_VALUE"""),"Samudra Hindia Britania, Teritori")</f>
        <v>Samudra Hindia Britania, Teritori</v>
      </c>
      <c r="P107" s="14" t="str">
        <f ca="1">IFERROR(__xludf.DUMMYFUNCTION("""COMPUTED_VALUE"""),"Territorio britannico dell’Oceano Indiano")</f>
        <v>Territorio britannico dell’Oceano Indiano</v>
      </c>
      <c r="Q107" s="14" t="str">
        <f ca="1">IFERROR(__xludf.DUMMYFUNCTION("""COMPUTED_VALUE"""),"영국령 인도양 지역")</f>
        <v>영국령 인도양 지역</v>
      </c>
      <c r="R107" s="14" t="str">
        <f ca="1">IFERROR(__xludf.DUMMYFUNCTION("""COMPUTED_VALUE"""),"Brytyjskie Terytorium Oceanu Indyjskiego")</f>
        <v>Brytyjskie Terytorium Oceanu Indyjskiego</v>
      </c>
      <c r="S107" s="14" t="str">
        <f ca="1">IFERROR(__xludf.DUMMYFUNCTION("""COMPUTED_VALUE"""),"Território Britânico do Oceano Índico")</f>
        <v>Território Britânico do Oceano Índico</v>
      </c>
      <c r="T107" s="14" t="str">
        <f ca="1">IFERROR(__xludf.DUMMYFUNCTION("""COMPUTED_VALUE"""),"Teritoriul Britanic din Oceanul Indian")</f>
        <v>Teritoriul Britanic din Oceanul Indian</v>
      </c>
      <c r="U107" s="14" t="str">
        <f ca="1">IFERROR(__xludf.DUMMYFUNCTION("""COMPUTED_VALUE"""),"Britanska Teritorija Indijskog Okeana")</f>
        <v>Britanska Teritorija Indijskog Okeana</v>
      </c>
      <c r="V107" s="14" t="str">
        <f ca="1">IFERROR(__xludf.DUMMYFUNCTION("""COMPUTED_VALUE"""),"Британская территория в Индийском океане")</f>
        <v>Британская территория в Индийском океане</v>
      </c>
      <c r="W107" s="14" t="str">
        <f ca="1">IFERROR(__xludf.DUMMYFUNCTION("""COMPUTED_VALUE"""),"Brittiska territoriet i Indiska Oceanen")</f>
        <v>Brittiska territoriet i Indiska Oceanen</v>
      </c>
      <c r="X107" s="14" t="str">
        <f ca="1">IFERROR(__xludf.DUMMYFUNCTION("""COMPUTED_VALUE"""),"Britanski teritorij v Indijskem oceanu")</f>
        <v>Britanski teritorij v Indijskem oceanu</v>
      </c>
      <c r="Y107" s="14" t="str">
        <f ca="1">IFERROR(__xludf.DUMMYFUNCTION("""COMPUTED_VALUE"""),"Britské indickooceánske územie")</f>
        <v>Britské indickooceánske územie</v>
      </c>
      <c r="Z107" s="14" t="str">
        <f ca="1">IFERROR(__xludf.DUMMYFUNCTION("""COMPUTED_VALUE"""),"บริติชอินเดียนโอเชียนเทร์ริทอรี")</f>
        <v>บริติชอินเดียนโอเชียนเทร์ริทอรี</v>
      </c>
      <c r="AA107" s="14" t="str">
        <f ca="1">IFERROR(__xludf.DUMMYFUNCTION("""COMPUTED_VALUE"""),"İngiliz Hint Okyanusu Bölgesi")</f>
        <v>İngiliz Hint Okyanusu Bölgesi</v>
      </c>
      <c r="AB107" s="14" t="str">
        <f ca="1">IFERROR(__xludf.DUMMYFUNCTION("""COMPUTED_VALUE"""),"İNGİLİZ HİNT OKYANUSU BÖLGESİ")</f>
        <v>İNGİLİZ HİNT OKYANUSU BÖLGESİ</v>
      </c>
      <c r="AC107" s="14" t="str">
        <f ca="1">IFERROR(__xludf.DUMMYFUNCTION("""COMPUTED_VALUE"""),"Британська Територія в Індійському Океані")</f>
        <v>Британська Територія в Індійському Океані</v>
      </c>
      <c r="AD107" s="14" t="str">
        <f ca="1">IFERROR(__xludf.DUMMYFUNCTION("""COMPUTED_VALUE"""),"Lãnh thổ Ấn Độ Dương thuộc Anh")</f>
        <v>Lãnh thổ Ấn Độ Dương thuộc Anh</v>
      </c>
      <c r="AE107" s="14" t="str">
        <f ca="1">IFERROR(__xludf.DUMMYFUNCTION("""COMPUTED_VALUE"""),"Үнді мұхитындағы Британия аймағы")</f>
        <v>Үнді мұхитындағы Британия аймағы</v>
      </c>
      <c r="AF107" s="14"/>
    </row>
    <row r="108" spans="1:32" ht="13" x14ac:dyDescent="0.15">
      <c r="A108" s="14" t="str">
        <f ca="1">IFERROR(__xludf.DUMMYFUNCTION("""COMPUTED_VALUE"""),"IQ")</f>
        <v>IQ</v>
      </c>
      <c r="B108" s="14" t="str">
        <f ca="1">IFERROR(__xludf.DUMMYFUNCTION("""COMPUTED_VALUE"""),"Iraq")</f>
        <v>Iraq</v>
      </c>
      <c r="C108" s="14" t="str">
        <f ca="1">IFERROR(__xludf.DUMMYFUNCTION("""COMPUTED_VALUE"""),"العراق")</f>
        <v>العراق</v>
      </c>
      <c r="D108" s="14" t="str">
        <f ca="1">IFERROR(__xludf.DUMMYFUNCTION("""COMPUTED_VALUE"""),"Ирак")</f>
        <v>Ирак</v>
      </c>
      <c r="E108" s="14" t="str">
        <f ca="1">IFERROR(__xludf.DUMMYFUNCTION("""COMPUTED_VALUE"""),"Iraque")</f>
        <v>Iraque</v>
      </c>
      <c r="F108" s="14" t="str">
        <f ca="1">IFERROR(__xludf.DUMMYFUNCTION("""COMPUTED_VALUE"""),"Ірак")</f>
        <v>Ірак</v>
      </c>
      <c r="G108" s="14" t="str">
        <f ca="1">IFERROR(__xludf.DUMMYFUNCTION("""COMPUTED_VALUE"""),"Irák")</f>
        <v>Irák</v>
      </c>
      <c r="H108" s="14" t="str">
        <f ca="1">IFERROR(__xludf.DUMMYFUNCTION("""COMPUTED_VALUE"""),"Irak")</f>
        <v>Irak</v>
      </c>
      <c r="I108" s="14" t="str">
        <f ca="1">IFERROR(__xludf.DUMMYFUNCTION("""COMPUTED_VALUE"""),"Iraq")</f>
        <v>Iraq</v>
      </c>
      <c r="J108" s="14" t="str">
        <f ca="1">IFERROR(__xludf.DUMMYFUNCTION("""COMPUTED_VALUE"""),"Irak")</f>
        <v>Irak</v>
      </c>
      <c r="K108" s="14" t="str">
        <f ca="1">IFERROR(__xludf.DUMMYFUNCTION("""COMPUTED_VALUE"""),"Ιράκ")</f>
        <v>Ιράκ</v>
      </c>
      <c r="L108" s="14" t="str">
        <f ca="1">IFERROR(__xludf.DUMMYFUNCTION("""COMPUTED_VALUE"""),"ΙΡΑΚ")</f>
        <v>ΙΡΑΚ</v>
      </c>
      <c r="M108" s="14" t="str">
        <f ca="1">IFERROR(__xludf.DUMMYFUNCTION("""COMPUTED_VALUE"""),"Irak")</f>
        <v>Irak</v>
      </c>
      <c r="N108" s="14" t="str">
        <f ca="1">IFERROR(__xludf.DUMMYFUNCTION("""COMPUTED_VALUE"""),"Irak")</f>
        <v>Irak</v>
      </c>
      <c r="O108" s="14" t="str">
        <f ca="1">IFERROR(__xludf.DUMMYFUNCTION("""COMPUTED_VALUE"""),"Irak")</f>
        <v>Irak</v>
      </c>
      <c r="P108" s="14" t="str">
        <f ca="1">IFERROR(__xludf.DUMMYFUNCTION("""COMPUTED_VALUE"""),"Iraq")</f>
        <v>Iraq</v>
      </c>
      <c r="Q108" s="14" t="str">
        <f ca="1">IFERROR(__xludf.DUMMYFUNCTION("""COMPUTED_VALUE"""),"이라크")</f>
        <v>이라크</v>
      </c>
      <c r="R108" s="14" t="str">
        <f ca="1">IFERROR(__xludf.DUMMYFUNCTION("""COMPUTED_VALUE"""),"Irak")</f>
        <v>Irak</v>
      </c>
      <c r="S108" s="14" t="str">
        <f ca="1">IFERROR(__xludf.DUMMYFUNCTION("""COMPUTED_VALUE"""),"Iraque")</f>
        <v>Iraque</v>
      </c>
      <c r="T108" s="14" t="str">
        <f ca="1">IFERROR(__xludf.DUMMYFUNCTION("""COMPUTED_VALUE"""),"Irak")</f>
        <v>Irak</v>
      </c>
      <c r="U108" s="14" t="str">
        <f ca="1">IFERROR(__xludf.DUMMYFUNCTION("""COMPUTED_VALUE"""),"Irak")</f>
        <v>Irak</v>
      </c>
      <c r="V108" s="14" t="str">
        <f ca="1">IFERROR(__xludf.DUMMYFUNCTION("""COMPUTED_VALUE"""),"Ирак")</f>
        <v>Ирак</v>
      </c>
      <c r="W108" s="14" t="str">
        <f ca="1">IFERROR(__xludf.DUMMYFUNCTION("""COMPUTED_VALUE"""),"Irak")</f>
        <v>Irak</v>
      </c>
      <c r="X108" s="14" t="str">
        <f ca="1">IFERROR(__xludf.DUMMYFUNCTION("""COMPUTED_VALUE"""),"Irak")</f>
        <v>Irak</v>
      </c>
      <c r="Y108" s="14" t="str">
        <f ca="1">IFERROR(__xludf.DUMMYFUNCTION("""COMPUTED_VALUE"""),"Irak")</f>
        <v>Irak</v>
      </c>
      <c r="Z108" s="14" t="str">
        <f ca="1">IFERROR(__xludf.DUMMYFUNCTION("""COMPUTED_VALUE"""),"อิรัก")</f>
        <v>อิรัก</v>
      </c>
      <c r="AA108" s="14" t="str">
        <f ca="1">IFERROR(__xludf.DUMMYFUNCTION("""COMPUTED_VALUE"""),"Irak")</f>
        <v>Irak</v>
      </c>
      <c r="AB108" s="14" t="str">
        <f ca="1">IFERROR(__xludf.DUMMYFUNCTION("""COMPUTED_VALUE"""),"IRAK")</f>
        <v>IRAK</v>
      </c>
      <c r="AC108" s="14" t="str">
        <f ca="1">IFERROR(__xludf.DUMMYFUNCTION("""COMPUTED_VALUE"""),"Ірак")</f>
        <v>Ірак</v>
      </c>
      <c r="AD108" s="14" t="str">
        <f ca="1">IFERROR(__xludf.DUMMYFUNCTION("""COMPUTED_VALUE"""),"Iraq")</f>
        <v>Iraq</v>
      </c>
      <c r="AE108" s="14" t="str">
        <f ca="1">IFERROR(__xludf.DUMMYFUNCTION("""COMPUTED_VALUE"""),"Ирак")</f>
        <v>Ирак</v>
      </c>
      <c r="AF108" s="14"/>
    </row>
    <row r="109" spans="1:32" ht="13" x14ac:dyDescent="0.15">
      <c r="A109" s="14" t="str">
        <f ca="1">IFERROR(__xludf.DUMMYFUNCTION("""COMPUTED_VALUE"""),"IR")</f>
        <v>IR</v>
      </c>
      <c r="B109" s="14" t="str">
        <f ca="1">IFERROR(__xludf.DUMMYFUNCTION("""COMPUTED_VALUE"""),"Iran")</f>
        <v>Iran</v>
      </c>
      <c r="C109" s="14" t="str">
        <f ca="1">IFERROR(__xludf.DUMMYFUNCTION("""COMPUTED_VALUE"""),"ايران")</f>
        <v>ايران</v>
      </c>
      <c r="D109" s="14" t="str">
        <f ca="1">IFERROR(__xludf.DUMMYFUNCTION("""COMPUTED_VALUE"""),"Иран")</f>
        <v>Иран</v>
      </c>
      <c r="E109" s="14" t="str">
        <f ca="1">IFERROR(__xludf.DUMMYFUNCTION("""COMPUTED_VALUE"""),"Irã")</f>
        <v>Irã</v>
      </c>
      <c r="F109" s="14" t="str">
        <f ca="1">IFERROR(__xludf.DUMMYFUNCTION("""COMPUTED_VALUE"""),"Іран")</f>
        <v>Іран</v>
      </c>
      <c r="G109" s="14" t="str">
        <f ca="1">IFERROR(__xludf.DUMMYFUNCTION("""COMPUTED_VALUE"""),"Írán")</f>
        <v>Írán</v>
      </c>
      <c r="H109" s="14" t="str">
        <f ca="1">IFERROR(__xludf.DUMMYFUNCTION("""COMPUTED_VALUE"""),"Iran, Islamische Republik")</f>
        <v>Iran, Islamische Republik</v>
      </c>
      <c r="I109" s="14" t="str">
        <f ca="1">IFERROR(__xludf.DUMMYFUNCTION("""COMPUTED_VALUE"""),"Irán")</f>
        <v>Irán</v>
      </c>
      <c r="J109" s="14" t="str">
        <f ca="1">IFERROR(__xludf.DUMMYFUNCTION("""COMPUTED_VALUE"""),"Iran")</f>
        <v>Iran</v>
      </c>
      <c r="K109" s="14" t="str">
        <f ca="1">IFERROR(__xludf.DUMMYFUNCTION("""COMPUTED_VALUE"""),"Ιράν")</f>
        <v>Ιράν</v>
      </c>
      <c r="L109" s="14" t="str">
        <f ca="1">IFERROR(__xludf.DUMMYFUNCTION("""COMPUTED_VALUE"""),"ΙΡΑΝ")</f>
        <v>ΙΡΑΝ</v>
      </c>
      <c r="M109" s="14" t="str">
        <f ca="1">IFERROR(__xludf.DUMMYFUNCTION("""COMPUTED_VALUE"""),"Iran")</f>
        <v>Iran</v>
      </c>
      <c r="N109" s="14" t="str">
        <f ca="1">IFERROR(__xludf.DUMMYFUNCTION("""COMPUTED_VALUE"""),"Irán")</f>
        <v>Irán</v>
      </c>
      <c r="O109" s="14" t="str">
        <f ca="1">IFERROR(__xludf.DUMMYFUNCTION("""COMPUTED_VALUE"""),"Iran")</f>
        <v>Iran</v>
      </c>
      <c r="P109" s="14" t="str">
        <f ca="1">IFERROR(__xludf.DUMMYFUNCTION("""COMPUTED_VALUE"""),"Iran")</f>
        <v>Iran</v>
      </c>
      <c r="Q109" s="14" t="str">
        <f ca="1">IFERROR(__xludf.DUMMYFUNCTION("""COMPUTED_VALUE"""),"이란")</f>
        <v>이란</v>
      </c>
      <c r="R109" s="14" t="str">
        <f ca="1">IFERROR(__xludf.DUMMYFUNCTION("""COMPUTED_VALUE"""),"Iran")</f>
        <v>Iran</v>
      </c>
      <c r="S109" s="14" t="str">
        <f ca="1">IFERROR(__xludf.DUMMYFUNCTION("""COMPUTED_VALUE"""),"Irã")</f>
        <v>Irã</v>
      </c>
      <c r="T109" s="14" t="str">
        <f ca="1">IFERROR(__xludf.DUMMYFUNCTION("""COMPUTED_VALUE"""),"Iran")</f>
        <v>Iran</v>
      </c>
      <c r="U109" s="14" t="str">
        <f ca="1">IFERROR(__xludf.DUMMYFUNCTION("""COMPUTED_VALUE"""),"Iran")</f>
        <v>Iran</v>
      </c>
      <c r="V109" s="14" t="str">
        <f ca="1">IFERROR(__xludf.DUMMYFUNCTION("""COMPUTED_VALUE"""),"Иран")</f>
        <v>Иран</v>
      </c>
      <c r="W109" s="14" t="str">
        <f ca="1">IFERROR(__xludf.DUMMYFUNCTION("""COMPUTED_VALUE"""),"Iran")</f>
        <v>Iran</v>
      </c>
      <c r="X109" s="14" t="str">
        <f ca="1">IFERROR(__xludf.DUMMYFUNCTION("""COMPUTED_VALUE"""),"Iran")</f>
        <v>Iran</v>
      </c>
      <c r="Y109" s="14" t="str">
        <f ca="1">IFERROR(__xludf.DUMMYFUNCTION("""COMPUTED_VALUE"""),"Irán")</f>
        <v>Irán</v>
      </c>
      <c r="Z109" s="14" t="str">
        <f ca="1">IFERROR(__xludf.DUMMYFUNCTION("""COMPUTED_VALUE"""),"อิหร่าน")</f>
        <v>อิหร่าน</v>
      </c>
      <c r="AA109" s="14" t="str">
        <f ca="1">IFERROR(__xludf.DUMMYFUNCTION("""COMPUTED_VALUE"""),"İran")</f>
        <v>İran</v>
      </c>
      <c r="AB109" s="14" t="str">
        <f ca="1">IFERROR(__xludf.DUMMYFUNCTION("""COMPUTED_VALUE"""),"İRAN")</f>
        <v>İRAN</v>
      </c>
      <c r="AC109" s="14" t="str">
        <f ca="1">IFERROR(__xludf.DUMMYFUNCTION("""COMPUTED_VALUE"""),"Іран")</f>
        <v>Іран</v>
      </c>
      <c r="AD109" s="14" t="str">
        <f ca="1">IFERROR(__xludf.DUMMYFUNCTION("""COMPUTED_VALUE"""),"Iran")</f>
        <v>Iran</v>
      </c>
      <c r="AE109" s="14" t="str">
        <f ca="1">IFERROR(__xludf.DUMMYFUNCTION("""COMPUTED_VALUE"""),"Иран")</f>
        <v>Иран</v>
      </c>
      <c r="AF109" s="14"/>
    </row>
    <row r="110" spans="1:32" ht="13" x14ac:dyDescent="0.15">
      <c r="A110" s="14" t="str">
        <f ca="1">IFERROR(__xludf.DUMMYFUNCTION("""COMPUTED_VALUE"""),"IS")</f>
        <v>IS</v>
      </c>
      <c r="B110" s="14" t="str">
        <f ca="1">IFERROR(__xludf.DUMMYFUNCTION("""COMPUTED_VALUE"""),"Iceland")</f>
        <v>Iceland</v>
      </c>
      <c r="C110" s="14" t="str">
        <f ca="1">IFERROR(__xludf.DUMMYFUNCTION("""COMPUTED_VALUE"""),"أيسلندا")</f>
        <v>أيسلندا</v>
      </c>
      <c r="D110" s="14" t="str">
        <f ca="1">IFERROR(__xludf.DUMMYFUNCTION("""COMPUTED_VALUE"""),"Исландия")</f>
        <v>Исландия</v>
      </c>
      <c r="E110" s="14" t="str">
        <f ca="1">IFERROR(__xludf.DUMMYFUNCTION("""COMPUTED_VALUE"""),"Islândia")</f>
        <v>Islândia</v>
      </c>
      <c r="F110" s="14" t="str">
        <f ca="1">IFERROR(__xludf.DUMMYFUNCTION("""COMPUTED_VALUE"""),"Ісландыя")</f>
        <v>Ісландыя</v>
      </c>
      <c r="G110" s="14" t="str">
        <f ca="1">IFERROR(__xludf.DUMMYFUNCTION("""COMPUTED_VALUE"""),"Island")</f>
        <v>Island</v>
      </c>
      <c r="H110" s="14" t="str">
        <f ca="1">IFERROR(__xludf.DUMMYFUNCTION("""COMPUTED_VALUE"""),"Island")</f>
        <v>Island</v>
      </c>
      <c r="I110" s="14" t="str">
        <f ca="1">IFERROR(__xludf.DUMMYFUNCTION("""COMPUTED_VALUE"""),"Islandia")</f>
        <v>Islandia</v>
      </c>
      <c r="J110" s="14" t="str">
        <f ca="1">IFERROR(__xludf.DUMMYFUNCTION("""COMPUTED_VALUE"""),"Islanti")</f>
        <v>Islanti</v>
      </c>
      <c r="K110" s="14" t="str">
        <f ca="1">IFERROR(__xludf.DUMMYFUNCTION("""COMPUTED_VALUE"""),"Ισλανδία")</f>
        <v>Ισλανδία</v>
      </c>
      <c r="L110" s="14" t="str">
        <f ca="1">IFERROR(__xludf.DUMMYFUNCTION("""COMPUTED_VALUE"""),"ΙΣΛΑΝΔΙΑ")</f>
        <v>ΙΣΛΑΝΔΙΑ</v>
      </c>
      <c r="M110" s="14" t="str">
        <f ca="1">IFERROR(__xludf.DUMMYFUNCTION("""COMPUTED_VALUE"""),"Island")</f>
        <v>Island</v>
      </c>
      <c r="N110" s="14" t="str">
        <f ca="1">IFERROR(__xludf.DUMMYFUNCTION("""COMPUTED_VALUE"""),"Izland")</f>
        <v>Izland</v>
      </c>
      <c r="O110" s="14" t="str">
        <f ca="1">IFERROR(__xludf.DUMMYFUNCTION("""COMPUTED_VALUE"""),"Islandia")</f>
        <v>Islandia</v>
      </c>
      <c r="P110" s="14" t="str">
        <f ca="1">IFERROR(__xludf.DUMMYFUNCTION("""COMPUTED_VALUE"""),"Islanda")</f>
        <v>Islanda</v>
      </c>
      <c r="Q110" s="14" t="str">
        <f ca="1">IFERROR(__xludf.DUMMYFUNCTION("""COMPUTED_VALUE"""),"아이슬란드")</f>
        <v>아이슬란드</v>
      </c>
      <c r="R110" s="14" t="str">
        <f ca="1">IFERROR(__xludf.DUMMYFUNCTION("""COMPUTED_VALUE"""),"Islandia")</f>
        <v>Islandia</v>
      </c>
      <c r="S110" s="14" t="str">
        <f ca="1">IFERROR(__xludf.DUMMYFUNCTION("""COMPUTED_VALUE"""),"Islândia")</f>
        <v>Islândia</v>
      </c>
      <c r="T110" s="14" t="str">
        <f ca="1">IFERROR(__xludf.DUMMYFUNCTION("""COMPUTED_VALUE"""),"Islanda")</f>
        <v>Islanda</v>
      </c>
      <c r="U110" s="14" t="str">
        <f ca="1">IFERROR(__xludf.DUMMYFUNCTION("""COMPUTED_VALUE"""),"Island")</f>
        <v>Island</v>
      </c>
      <c r="V110" s="14" t="str">
        <f ca="1">IFERROR(__xludf.DUMMYFUNCTION("""COMPUTED_VALUE"""),"Исландия")</f>
        <v>Исландия</v>
      </c>
      <c r="W110" s="14" t="str">
        <f ca="1">IFERROR(__xludf.DUMMYFUNCTION("""COMPUTED_VALUE"""),"Island")</f>
        <v>Island</v>
      </c>
      <c r="X110" s="14" t="str">
        <f ca="1">IFERROR(__xludf.DUMMYFUNCTION("""COMPUTED_VALUE"""),"Islandija")</f>
        <v>Islandija</v>
      </c>
      <c r="Y110" s="14" t="str">
        <f ca="1">IFERROR(__xludf.DUMMYFUNCTION("""COMPUTED_VALUE"""),"Island")</f>
        <v>Island</v>
      </c>
      <c r="Z110" s="14" t="str">
        <f ca="1">IFERROR(__xludf.DUMMYFUNCTION("""COMPUTED_VALUE"""),"ไอซ์แลนด์")</f>
        <v>ไอซ์แลนด์</v>
      </c>
      <c r="AA110" s="14" t="str">
        <f ca="1">IFERROR(__xludf.DUMMYFUNCTION("""COMPUTED_VALUE"""),"İzlanda")</f>
        <v>İzlanda</v>
      </c>
      <c r="AB110" s="14" t="str">
        <f ca="1">IFERROR(__xludf.DUMMYFUNCTION("""COMPUTED_VALUE"""),"İZLANDA")</f>
        <v>İZLANDA</v>
      </c>
      <c r="AC110" s="14" t="str">
        <f ca="1">IFERROR(__xludf.DUMMYFUNCTION("""COMPUTED_VALUE"""),"Ісландія")</f>
        <v>Ісландія</v>
      </c>
      <c r="AD110" s="14" t="str">
        <f ca="1">IFERROR(__xludf.DUMMYFUNCTION("""COMPUTED_VALUE"""),"Iceland")</f>
        <v>Iceland</v>
      </c>
      <c r="AE110" s="14" t="str">
        <f ca="1">IFERROR(__xludf.DUMMYFUNCTION("""COMPUTED_VALUE"""),"Исландия")</f>
        <v>Исландия</v>
      </c>
      <c r="AF110" s="14"/>
    </row>
    <row r="111" spans="1:32" ht="13" x14ac:dyDescent="0.15">
      <c r="A111" s="14" t="str">
        <f ca="1">IFERROR(__xludf.DUMMYFUNCTION("""COMPUTED_VALUE"""),"IT")</f>
        <v>IT</v>
      </c>
      <c r="B111" s="14" t="str">
        <f ca="1">IFERROR(__xludf.DUMMYFUNCTION("""COMPUTED_VALUE"""),"Italy")</f>
        <v>Italy</v>
      </c>
      <c r="C111" s="14" t="str">
        <f ca="1">IFERROR(__xludf.DUMMYFUNCTION("""COMPUTED_VALUE"""),"ايطاليا")</f>
        <v>ايطاليا</v>
      </c>
      <c r="D111" s="14" t="str">
        <f ca="1">IFERROR(__xludf.DUMMYFUNCTION("""COMPUTED_VALUE"""),"Италия")</f>
        <v>Италия</v>
      </c>
      <c r="E111" s="14" t="str">
        <f ca="1">IFERROR(__xludf.DUMMYFUNCTION("""COMPUTED_VALUE"""),"Itália")</f>
        <v>Itália</v>
      </c>
      <c r="F111" s="14" t="str">
        <f ca="1">IFERROR(__xludf.DUMMYFUNCTION("""COMPUTED_VALUE"""),"Італія")</f>
        <v>Італія</v>
      </c>
      <c r="G111" s="14" t="str">
        <f ca="1">IFERROR(__xludf.DUMMYFUNCTION("""COMPUTED_VALUE"""),"Itálie")</f>
        <v>Itálie</v>
      </c>
      <c r="H111" s="14" t="str">
        <f ca="1">IFERROR(__xludf.DUMMYFUNCTION("""COMPUTED_VALUE"""),"Italien")</f>
        <v>Italien</v>
      </c>
      <c r="I111" s="14" t="str">
        <f ca="1">IFERROR(__xludf.DUMMYFUNCTION("""COMPUTED_VALUE"""),"Italia")</f>
        <v>Italia</v>
      </c>
      <c r="J111" s="14" t="str">
        <f ca="1">IFERROR(__xludf.DUMMYFUNCTION("""COMPUTED_VALUE"""),"Italia")</f>
        <v>Italia</v>
      </c>
      <c r="K111" s="14" t="str">
        <f ca="1">IFERROR(__xludf.DUMMYFUNCTION("""COMPUTED_VALUE"""),"Ιταλία")</f>
        <v>Ιταλία</v>
      </c>
      <c r="L111" s="14" t="str">
        <f ca="1">IFERROR(__xludf.DUMMYFUNCTION("""COMPUTED_VALUE"""),"ΙΤΑΛΙΑ")</f>
        <v>ΙΤΑΛΙΑ</v>
      </c>
      <c r="M111" s="14" t="str">
        <f ca="1">IFERROR(__xludf.DUMMYFUNCTION("""COMPUTED_VALUE"""),"Italija")</f>
        <v>Italija</v>
      </c>
      <c r="N111" s="14" t="str">
        <f ca="1">IFERROR(__xludf.DUMMYFUNCTION("""COMPUTED_VALUE"""),"Olaszország")</f>
        <v>Olaszország</v>
      </c>
      <c r="O111" s="14" t="str">
        <f ca="1">IFERROR(__xludf.DUMMYFUNCTION("""COMPUTED_VALUE"""),"Italia")</f>
        <v>Italia</v>
      </c>
      <c r="P111" s="14" t="str">
        <f ca="1">IFERROR(__xludf.DUMMYFUNCTION("""COMPUTED_VALUE"""),"Italia")</f>
        <v>Italia</v>
      </c>
      <c r="Q111" s="14" t="str">
        <f ca="1">IFERROR(__xludf.DUMMYFUNCTION("""COMPUTED_VALUE"""),"이탈리아")</f>
        <v>이탈리아</v>
      </c>
      <c r="R111" s="14" t="str">
        <f ca="1">IFERROR(__xludf.DUMMYFUNCTION("""COMPUTED_VALUE"""),"Włochy")</f>
        <v>Włochy</v>
      </c>
      <c r="S111" s="14" t="str">
        <f ca="1">IFERROR(__xludf.DUMMYFUNCTION("""COMPUTED_VALUE"""),"Itália")</f>
        <v>Itália</v>
      </c>
      <c r="T111" s="14" t="str">
        <f ca="1">IFERROR(__xludf.DUMMYFUNCTION("""COMPUTED_VALUE"""),"Italia")</f>
        <v>Italia</v>
      </c>
      <c r="U111" s="14" t="str">
        <f ca="1">IFERROR(__xludf.DUMMYFUNCTION("""COMPUTED_VALUE"""),"Italija")</f>
        <v>Italija</v>
      </c>
      <c r="V111" s="14" t="str">
        <f ca="1">IFERROR(__xludf.DUMMYFUNCTION("""COMPUTED_VALUE"""),"Италия")</f>
        <v>Италия</v>
      </c>
      <c r="W111" s="14" t="str">
        <f ca="1">IFERROR(__xludf.DUMMYFUNCTION("""COMPUTED_VALUE"""),"Italien")</f>
        <v>Italien</v>
      </c>
      <c r="X111" s="14" t="str">
        <f ca="1">IFERROR(__xludf.DUMMYFUNCTION("""COMPUTED_VALUE"""),"Italija")</f>
        <v>Italija</v>
      </c>
      <c r="Y111" s="14" t="str">
        <f ca="1">IFERROR(__xludf.DUMMYFUNCTION("""COMPUTED_VALUE"""),"Taliansko")</f>
        <v>Taliansko</v>
      </c>
      <c r="Z111" s="14" t="str">
        <f ca="1">IFERROR(__xludf.DUMMYFUNCTION("""COMPUTED_VALUE"""),"อิตาลี")</f>
        <v>อิตาลี</v>
      </c>
      <c r="AA111" s="14" t="str">
        <f ca="1">IFERROR(__xludf.DUMMYFUNCTION("""COMPUTED_VALUE"""),"İtalya")</f>
        <v>İtalya</v>
      </c>
      <c r="AB111" s="14" t="str">
        <f ca="1">IFERROR(__xludf.DUMMYFUNCTION("""COMPUTED_VALUE"""),"İTALYA")</f>
        <v>İTALYA</v>
      </c>
      <c r="AC111" s="14" t="str">
        <f ca="1">IFERROR(__xludf.DUMMYFUNCTION("""COMPUTED_VALUE"""),"Італія")</f>
        <v>Італія</v>
      </c>
      <c r="AD111" s="14" t="str">
        <f ca="1">IFERROR(__xludf.DUMMYFUNCTION("""COMPUTED_VALUE"""),"Ý")</f>
        <v>Ý</v>
      </c>
      <c r="AE111" s="14" t="str">
        <f ca="1">IFERROR(__xludf.DUMMYFUNCTION("""COMPUTED_VALUE"""),"Италия")</f>
        <v>Италия</v>
      </c>
      <c r="AF111" s="14"/>
    </row>
    <row r="112" spans="1:32" ht="13" x14ac:dyDescent="0.15">
      <c r="A112" s="14" t="str">
        <f ca="1">IFERROR(__xludf.DUMMYFUNCTION("""COMPUTED_VALUE"""),"JE")</f>
        <v>JE</v>
      </c>
      <c r="B112" s="14" t="str">
        <f ca="1">IFERROR(__xludf.DUMMYFUNCTION("""COMPUTED_VALUE"""),"Jersey")</f>
        <v>Jersey</v>
      </c>
      <c r="C112" s="14" t="str">
        <f ca="1">IFERROR(__xludf.DUMMYFUNCTION("""COMPUTED_VALUE"""),"جيرسي")</f>
        <v>جيرسي</v>
      </c>
      <c r="D112" s="14" t="str">
        <f ca="1">IFERROR(__xludf.DUMMYFUNCTION("""COMPUTED_VALUE"""),"Джърси")</f>
        <v>Джърси</v>
      </c>
      <c r="E112" s="14" t="str">
        <f ca="1">IFERROR(__xludf.DUMMYFUNCTION("""COMPUTED_VALUE"""),"Jersey")</f>
        <v>Jersey</v>
      </c>
      <c r="F112" s="14"/>
      <c r="G112" s="14" t="str">
        <f ca="1">IFERROR(__xludf.DUMMYFUNCTION("""COMPUTED_VALUE"""),"Jersey")</f>
        <v>Jersey</v>
      </c>
      <c r="H112" s="14" t="str">
        <f ca="1">IFERROR(__xludf.DUMMYFUNCTION("""COMPUTED_VALUE"""),"Jersey (Kanalinsel)")</f>
        <v>Jersey (Kanalinsel)</v>
      </c>
      <c r="I112" s="14" t="str">
        <f ca="1">IFERROR(__xludf.DUMMYFUNCTION("""COMPUTED_VALUE"""),"Jersey")</f>
        <v>Jersey</v>
      </c>
      <c r="J112" s="14" t="str">
        <f ca="1">IFERROR(__xludf.DUMMYFUNCTION("""COMPUTED_VALUE"""),"Jersey")</f>
        <v>Jersey</v>
      </c>
      <c r="K112" s="14" t="str">
        <f ca="1">IFERROR(__xludf.DUMMYFUNCTION("""COMPUTED_VALUE"""),"Τζέρσεϊ")</f>
        <v>Τζέρσεϊ</v>
      </c>
      <c r="L112" s="14" t="str">
        <f ca="1">IFERROR(__xludf.DUMMYFUNCTION("""COMPUTED_VALUE"""),"ΤΖΕΡΣΕΪ")</f>
        <v>ΤΖΕΡΣΕΪ</v>
      </c>
      <c r="M112" s="14" t="str">
        <f ca="1">IFERROR(__xludf.DUMMYFUNCTION("""COMPUTED_VALUE"""),"Jersey")</f>
        <v>Jersey</v>
      </c>
      <c r="N112" s="14" t="str">
        <f ca="1">IFERROR(__xludf.DUMMYFUNCTION("""COMPUTED_VALUE"""),"Jersey Bailiffség")</f>
        <v>Jersey Bailiffség</v>
      </c>
      <c r="O112" s="14" t="str">
        <f ca="1">IFERROR(__xludf.DUMMYFUNCTION("""COMPUTED_VALUE"""),"Jersey")</f>
        <v>Jersey</v>
      </c>
      <c r="P112" s="14" t="str">
        <f ca="1">IFERROR(__xludf.DUMMYFUNCTION("""COMPUTED_VALUE"""),"Jersey")</f>
        <v>Jersey</v>
      </c>
      <c r="Q112" s="14" t="str">
        <f ca="1">IFERROR(__xludf.DUMMYFUNCTION("""COMPUTED_VALUE"""),"저지 섬")</f>
        <v>저지 섬</v>
      </c>
      <c r="R112" s="14" t="str">
        <f ca="1">IFERROR(__xludf.DUMMYFUNCTION("""COMPUTED_VALUE"""),"Jersey")</f>
        <v>Jersey</v>
      </c>
      <c r="S112" s="14" t="str">
        <f ca="1">IFERROR(__xludf.DUMMYFUNCTION("""COMPUTED_VALUE"""),"Jersey")</f>
        <v>Jersey</v>
      </c>
      <c r="T112" s="14" t="str">
        <f ca="1">IFERROR(__xludf.DUMMYFUNCTION("""COMPUTED_VALUE"""),"Insula Jersey")</f>
        <v>Insula Jersey</v>
      </c>
      <c r="U112" s="14" t="str">
        <f ca="1">IFERROR(__xludf.DUMMYFUNCTION("""COMPUTED_VALUE"""),"Džersi")</f>
        <v>Džersi</v>
      </c>
      <c r="V112" s="14" t="str">
        <f ca="1">IFERROR(__xludf.DUMMYFUNCTION("""COMPUTED_VALUE"""),"Джерси")</f>
        <v>Джерси</v>
      </c>
      <c r="W112" s="14" t="str">
        <f ca="1">IFERROR(__xludf.DUMMYFUNCTION("""COMPUTED_VALUE"""),"Jersey")</f>
        <v>Jersey</v>
      </c>
      <c r="X112" s="14"/>
      <c r="Y112" s="14" t="str">
        <f ca="1">IFERROR(__xludf.DUMMYFUNCTION("""COMPUTED_VALUE"""),"Jersey")</f>
        <v>Jersey</v>
      </c>
      <c r="Z112" s="14" t="str">
        <f ca="1">IFERROR(__xludf.DUMMYFUNCTION("""COMPUTED_VALUE"""),"เจอร์ซีย์")</f>
        <v>เจอร์ซีย์</v>
      </c>
      <c r="AA112" s="14" t="str">
        <f ca="1">IFERROR(__xludf.DUMMYFUNCTION("""COMPUTED_VALUE"""),"Jersey")</f>
        <v>Jersey</v>
      </c>
      <c r="AB112" s="14" t="str">
        <f ca="1">IFERROR(__xludf.DUMMYFUNCTION("""COMPUTED_VALUE"""),"JERSEY")</f>
        <v>JERSEY</v>
      </c>
      <c r="AC112" s="14" t="str">
        <f ca="1">IFERROR(__xludf.DUMMYFUNCTION("""COMPUTED_VALUE"""),"Джерсі")</f>
        <v>Джерсі</v>
      </c>
      <c r="AD112" s="14" t="str">
        <f ca="1">IFERROR(__xludf.DUMMYFUNCTION("""COMPUTED_VALUE"""),"Jersey")</f>
        <v>Jersey</v>
      </c>
      <c r="AE112" s="14" t="str">
        <f ca="1">IFERROR(__xludf.DUMMYFUNCTION("""COMPUTED_VALUE"""),"")</f>
        <v/>
      </c>
      <c r="AF112" s="14"/>
    </row>
    <row r="113" spans="1:32" ht="13" x14ac:dyDescent="0.15">
      <c r="A113" s="14" t="str">
        <f ca="1">IFERROR(__xludf.DUMMYFUNCTION("""COMPUTED_VALUE"""),"JM")</f>
        <v>JM</v>
      </c>
      <c r="B113" s="14" t="str">
        <f ca="1">IFERROR(__xludf.DUMMYFUNCTION("""COMPUTED_VALUE"""),"Jamaica")</f>
        <v>Jamaica</v>
      </c>
      <c r="C113" s="14" t="str">
        <f ca="1">IFERROR(__xludf.DUMMYFUNCTION("""COMPUTED_VALUE"""),"جامايكا")</f>
        <v>جامايكا</v>
      </c>
      <c r="D113" s="14" t="str">
        <f ca="1">IFERROR(__xludf.DUMMYFUNCTION("""COMPUTED_VALUE"""),"Ямайка")</f>
        <v>Ямайка</v>
      </c>
      <c r="E113" s="14" t="str">
        <f ca="1">IFERROR(__xludf.DUMMYFUNCTION("""COMPUTED_VALUE"""),"Jamaica")</f>
        <v>Jamaica</v>
      </c>
      <c r="F113" s="14" t="str">
        <f ca="1">IFERROR(__xludf.DUMMYFUNCTION("""COMPUTED_VALUE"""),"Ямайка")</f>
        <v>Ямайка</v>
      </c>
      <c r="G113" s="14" t="str">
        <f ca="1">IFERROR(__xludf.DUMMYFUNCTION("""COMPUTED_VALUE"""),"Jamajka")</f>
        <v>Jamajka</v>
      </c>
      <c r="H113" s="14" t="str">
        <f ca="1">IFERROR(__xludf.DUMMYFUNCTION("""COMPUTED_VALUE"""),"Jamaika")</f>
        <v>Jamaika</v>
      </c>
      <c r="I113" s="14" t="str">
        <f ca="1">IFERROR(__xludf.DUMMYFUNCTION("""COMPUTED_VALUE"""),"Jamaica")</f>
        <v>Jamaica</v>
      </c>
      <c r="J113" s="14" t="str">
        <f ca="1">IFERROR(__xludf.DUMMYFUNCTION("""COMPUTED_VALUE"""),"Jamaika")</f>
        <v>Jamaika</v>
      </c>
      <c r="K113" s="14" t="str">
        <f ca="1">IFERROR(__xludf.DUMMYFUNCTION("""COMPUTED_VALUE"""),"Τζαμάικα")</f>
        <v>Τζαμάικα</v>
      </c>
      <c r="L113" s="14" t="str">
        <f ca="1">IFERROR(__xludf.DUMMYFUNCTION("""COMPUTED_VALUE"""),"ΤΖΑΜΑΙΚΑ")</f>
        <v>ΤΖΑΜΑΙΚΑ</v>
      </c>
      <c r="M113" s="14" t="str">
        <f ca="1">IFERROR(__xludf.DUMMYFUNCTION("""COMPUTED_VALUE"""),"Jamajka")</f>
        <v>Jamajka</v>
      </c>
      <c r="N113" s="14" t="str">
        <f ca="1">IFERROR(__xludf.DUMMYFUNCTION("""COMPUTED_VALUE"""),"Jamaica")</f>
        <v>Jamaica</v>
      </c>
      <c r="O113" s="14" t="str">
        <f ca="1">IFERROR(__xludf.DUMMYFUNCTION("""COMPUTED_VALUE"""),"Jamaika")</f>
        <v>Jamaika</v>
      </c>
      <c r="P113" s="14" t="str">
        <f ca="1">IFERROR(__xludf.DUMMYFUNCTION("""COMPUTED_VALUE"""),"Giamaica")</f>
        <v>Giamaica</v>
      </c>
      <c r="Q113" s="14" t="str">
        <f ca="1">IFERROR(__xludf.DUMMYFUNCTION("""COMPUTED_VALUE"""),"자메이카")</f>
        <v>자메이카</v>
      </c>
      <c r="R113" s="14" t="str">
        <f ca="1">IFERROR(__xludf.DUMMYFUNCTION("""COMPUTED_VALUE"""),"Jamajka")</f>
        <v>Jamajka</v>
      </c>
      <c r="S113" s="14" t="str">
        <f ca="1">IFERROR(__xludf.DUMMYFUNCTION("""COMPUTED_VALUE"""),"Jamaica")</f>
        <v>Jamaica</v>
      </c>
      <c r="T113" s="14" t="str">
        <f ca="1">IFERROR(__xludf.DUMMYFUNCTION("""COMPUTED_VALUE"""),"Jamaica")</f>
        <v>Jamaica</v>
      </c>
      <c r="U113" s="14" t="str">
        <f ca="1">IFERROR(__xludf.DUMMYFUNCTION("""COMPUTED_VALUE"""),"Jamajka")</f>
        <v>Jamajka</v>
      </c>
      <c r="V113" s="14" t="str">
        <f ca="1">IFERROR(__xludf.DUMMYFUNCTION("""COMPUTED_VALUE"""),"Ямайка")</f>
        <v>Ямайка</v>
      </c>
      <c r="W113" s="14" t="str">
        <f ca="1">IFERROR(__xludf.DUMMYFUNCTION("""COMPUTED_VALUE"""),"Jamaica")</f>
        <v>Jamaica</v>
      </c>
      <c r="X113" s="14" t="str">
        <f ca="1">IFERROR(__xludf.DUMMYFUNCTION("""COMPUTED_VALUE"""),"Jamajka")</f>
        <v>Jamajka</v>
      </c>
      <c r="Y113" s="14" t="str">
        <f ca="1">IFERROR(__xludf.DUMMYFUNCTION("""COMPUTED_VALUE"""),"Jamajka")</f>
        <v>Jamajka</v>
      </c>
      <c r="Z113" s="14" t="str">
        <f ca="1">IFERROR(__xludf.DUMMYFUNCTION("""COMPUTED_VALUE"""),"จาเมกา")</f>
        <v>จาเมกา</v>
      </c>
      <c r="AA113" s="14" t="str">
        <f ca="1">IFERROR(__xludf.DUMMYFUNCTION("""COMPUTED_VALUE"""),"Jamaika")</f>
        <v>Jamaika</v>
      </c>
      <c r="AB113" s="14" t="str">
        <f ca="1">IFERROR(__xludf.DUMMYFUNCTION("""COMPUTED_VALUE"""),"JAMAİKA")</f>
        <v>JAMAİKA</v>
      </c>
      <c r="AC113" s="14" t="str">
        <f ca="1">IFERROR(__xludf.DUMMYFUNCTION("""COMPUTED_VALUE"""),"Ямайка")</f>
        <v>Ямайка</v>
      </c>
      <c r="AD113" s="14" t="str">
        <f ca="1">IFERROR(__xludf.DUMMYFUNCTION("""COMPUTED_VALUE"""),"Jamaica")</f>
        <v>Jamaica</v>
      </c>
      <c r="AE113" s="14" t="str">
        <f ca="1">IFERROR(__xludf.DUMMYFUNCTION("""COMPUTED_VALUE"""),"Ямайка")</f>
        <v>Ямайка</v>
      </c>
      <c r="AF113" s="14"/>
    </row>
    <row r="114" spans="1:32" ht="13" x14ac:dyDescent="0.15">
      <c r="A114" s="14" t="str">
        <f ca="1">IFERROR(__xludf.DUMMYFUNCTION("""COMPUTED_VALUE"""),"JO")</f>
        <v>JO</v>
      </c>
      <c r="B114" s="14" t="str">
        <f ca="1">IFERROR(__xludf.DUMMYFUNCTION("""COMPUTED_VALUE"""),"Jordan")</f>
        <v>Jordan</v>
      </c>
      <c r="C114" s="14" t="str">
        <f ca="1">IFERROR(__xludf.DUMMYFUNCTION("""COMPUTED_VALUE"""),"الأردن")</f>
        <v>الأردن</v>
      </c>
      <c r="D114" s="14" t="str">
        <f ca="1">IFERROR(__xludf.DUMMYFUNCTION("""COMPUTED_VALUE"""),"Йордания")</f>
        <v>Йордания</v>
      </c>
      <c r="E114" s="14" t="str">
        <f ca="1">IFERROR(__xludf.DUMMYFUNCTION("""COMPUTED_VALUE"""),"Jordânia")</f>
        <v>Jordânia</v>
      </c>
      <c r="F114" s="14" t="str">
        <f ca="1">IFERROR(__xludf.DUMMYFUNCTION("""COMPUTED_VALUE"""),"Іарданія")</f>
        <v>Іарданія</v>
      </c>
      <c r="G114" s="14" t="str">
        <f ca="1">IFERROR(__xludf.DUMMYFUNCTION("""COMPUTED_VALUE"""),"Jordánsko")</f>
        <v>Jordánsko</v>
      </c>
      <c r="H114" s="14" t="str">
        <f ca="1">IFERROR(__xludf.DUMMYFUNCTION("""COMPUTED_VALUE"""),"Jordanien")</f>
        <v>Jordanien</v>
      </c>
      <c r="I114" s="14" t="str">
        <f ca="1">IFERROR(__xludf.DUMMYFUNCTION("""COMPUTED_VALUE"""),"Jordania")</f>
        <v>Jordania</v>
      </c>
      <c r="J114" s="14" t="str">
        <f ca="1">IFERROR(__xludf.DUMMYFUNCTION("""COMPUTED_VALUE"""),"Jordania")</f>
        <v>Jordania</v>
      </c>
      <c r="K114" s="14" t="str">
        <f ca="1">IFERROR(__xludf.DUMMYFUNCTION("""COMPUTED_VALUE"""),"Ιορδανία")</f>
        <v>Ιορδανία</v>
      </c>
      <c r="L114" s="14" t="str">
        <f ca="1">IFERROR(__xludf.DUMMYFUNCTION("""COMPUTED_VALUE"""),"ΙΟΡΔΑΝΙΑ")</f>
        <v>ΙΟΡΔΑΝΙΑ</v>
      </c>
      <c r="M114" s="14" t="str">
        <f ca="1">IFERROR(__xludf.DUMMYFUNCTION("""COMPUTED_VALUE"""),"Jordan")</f>
        <v>Jordan</v>
      </c>
      <c r="N114" s="14" t="str">
        <f ca="1">IFERROR(__xludf.DUMMYFUNCTION("""COMPUTED_VALUE"""),"Jordánia")</f>
        <v>Jordánia</v>
      </c>
      <c r="O114" s="14" t="str">
        <f ca="1">IFERROR(__xludf.DUMMYFUNCTION("""COMPUTED_VALUE"""),"Yordania")</f>
        <v>Yordania</v>
      </c>
      <c r="P114" s="14" t="str">
        <f ca="1">IFERROR(__xludf.DUMMYFUNCTION("""COMPUTED_VALUE"""),"Giordania")</f>
        <v>Giordania</v>
      </c>
      <c r="Q114" s="14" t="str">
        <f ca="1">IFERROR(__xludf.DUMMYFUNCTION("""COMPUTED_VALUE"""),"요르단")</f>
        <v>요르단</v>
      </c>
      <c r="R114" s="14" t="str">
        <f ca="1">IFERROR(__xludf.DUMMYFUNCTION("""COMPUTED_VALUE"""),"Jordania")</f>
        <v>Jordania</v>
      </c>
      <c r="S114" s="14" t="str">
        <f ca="1">IFERROR(__xludf.DUMMYFUNCTION("""COMPUTED_VALUE"""),"Jordânia")</f>
        <v>Jordânia</v>
      </c>
      <c r="T114" s="14" t="str">
        <f ca="1">IFERROR(__xludf.DUMMYFUNCTION("""COMPUTED_VALUE"""),"Iordania")</f>
        <v>Iordania</v>
      </c>
      <c r="U114" s="14" t="str">
        <f ca="1">IFERROR(__xludf.DUMMYFUNCTION("""COMPUTED_VALUE"""),"Jordan")</f>
        <v>Jordan</v>
      </c>
      <c r="V114" s="14" t="str">
        <f ca="1">IFERROR(__xludf.DUMMYFUNCTION("""COMPUTED_VALUE"""),"Иордания")</f>
        <v>Иордания</v>
      </c>
      <c r="W114" s="14" t="str">
        <f ca="1">IFERROR(__xludf.DUMMYFUNCTION("""COMPUTED_VALUE"""),"Jordanien")</f>
        <v>Jordanien</v>
      </c>
      <c r="X114" s="14" t="str">
        <f ca="1">IFERROR(__xludf.DUMMYFUNCTION("""COMPUTED_VALUE"""),"Jordanija")</f>
        <v>Jordanija</v>
      </c>
      <c r="Y114" s="14" t="str">
        <f ca="1">IFERROR(__xludf.DUMMYFUNCTION("""COMPUTED_VALUE"""),"Jordánsko")</f>
        <v>Jordánsko</v>
      </c>
      <c r="Z114" s="14" t="str">
        <f ca="1">IFERROR(__xludf.DUMMYFUNCTION("""COMPUTED_VALUE"""),"จอร์แดน")</f>
        <v>จอร์แดน</v>
      </c>
      <c r="AA114" s="14" t="str">
        <f ca="1">IFERROR(__xludf.DUMMYFUNCTION("""COMPUTED_VALUE"""),"Ürdün")</f>
        <v>Ürdün</v>
      </c>
      <c r="AB114" s="14" t="str">
        <f ca="1">IFERROR(__xludf.DUMMYFUNCTION("""COMPUTED_VALUE"""),"ÜRDÜN")</f>
        <v>ÜRDÜN</v>
      </c>
      <c r="AC114" s="14" t="str">
        <f ca="1">IFERROR(__xludf.DUMMYFUNCTION("""COMPUTED_VALUE"""),"Йорданія")</f>
        <v>Йорданія</v>
      </c>
      <c r="AD114" s="14" t="str">
        <f ca="1">IFERROR(__xludf.DUMMYFUNCTION("""COMPUTED_VALUE"""),"Jordan")</f>
        <v>Jordan</v>
      </c>
      <c r="AE114" s="14" t="str">
        <f ca="1">IFERROR(__xludf.DUMMYFUNCTION("""COMPUTED_VALUE"""),"Иордания")</f>
        <v>Иордания</v>
      </c>
      <c r="AF114" s="14"/>
    </row>
    <row r="115" spans="1:32" ht="13" x14ac:dyDescent="0.15">
      <c r="A115" s="14" t="str">
        <f ca="1">IFERROR(__xludf.DUMMYFUNCTION("""COMPUTED_VALUE"""),"JP")</f>
        <v>JP</v>
      </c>
      <c r="B115" s="14" t="str">
        <f ca="1">IFERROR(__xludf.DUMMYFUNCTION("""COMPUTED_VALUE"""),"Japan")</f>
        <v>Japan</v>
      </c>
      <c r="C115" s="14" t="str">
        <f ca="1">IFERROR(__xludf.DUMMYFUNCTION("""COMPUTED_VALUE"""),"اليابان")</f>
        <v>اليابان</v>
      </c>
      <c r="D115" s="14" t="str">
        <f ca="1">IFERROR(__xludf.DUMMYFUNCTION("""COMPUTED_VALUE"""),"Япония")</f>
        <v>Япония</v>
      </c>
      <c r="E115" s="14" t="str">
        <f ca="1">IFERROR(__xludf.DUMMYFUNCTION("""COMPUTED_VALUE"""),"Japão")</f>
        <v>Japão</v>
      </c>
      <c r="F115" s="14" t="str">
        <f ca="1">IFERROR(__xludf.DUMMYFUNCTION("""COMPUTED_VALUE"""),"Японія")</f>
        <v>Японія</v>
      </c>
      <c r="G115" s="14" t="str">
        <f ca="1">IFERROR(__xludf.DUMMYFUNCTION("""COMPUTED_VALUE"""),"Japonsko")</f>
        <v>Japonsko</v>
      </c>
      <c r="H115" s="14" t="str">
        <f ca="1">IFERROR(__xludf.DUMMYFUNCTION("""COMPUTED_VALUE"""),"Japan")</f>
        <v>Japan</v>
      </c>
      <c r="I115" s="14" t="str">
        <f ca="1">IFERROR(__xludf.DUMMYFUNCTION("""COMPUTED_VALUE"""),"Japón")</f>
        <v>Japón</v>
      </c>
      <c r="J115" s="14" t="str">
        <f ca="1">IFERROR(__xludf.DUMMYFUNCTION("""COMPUTED_VALUE"""),"Japani")</f>
        <v>Japani</v>
      </c>
      <c r="K115" s="14" t="str">
        <f ca="1">IFERROR(__xludf.DUMMYFUNCTION("""COMPUTED_VALUE"""),"Ιαπωνία")</f>
        <v>Ιαπωνία</v>
      </c>
      <c r="L115" s="14" t="str">
        <f ca="1">IFERROR(__xludf.DUMMYFUNCTION("""COMPUTED_VALUE"""),"ΙΑΠΩΝΙΑ")</f>
        <v>ΙΑΠΩΝΙΑ</v>
      </c>
      <c r="M115" s="14" t="str">
        <f ca="1">IFERROR(__xludf.DUMMYFUNCTION("""COMPUTED_VALUE"""),"Japan")</f>
        <v>Japan</v>
      </c>
      <c r="N115" s="14" t="str">
        <f ca="1">IFERROR(__xludf.DUMMYFUNCTION("""COMPUTED_VALUE"""),"Japán")</f>
        <v>Japán</v>
      </c>
      <c r="O115" s="14" t="str">
        <f ca="1">IFERROR(__xludf.DUMMYFUNCTION("""COMPUTED_VALUE"""),"Jepang")</f>
        <v>Jepang</v>
      </c>
      <c r="P115" s="14" t="str">
        <f ca="1">IFERROR(__xludf.DUMMYFUNCTION("""COMPUTED_VALUE"""),"Giappone")</f>
        <v>Giappone</v>
      </c>
      <c r="Q115" s="14" t="str">
        <f ca="1">IFERROR(__xludf.DUMMYFUNCTION("""COMPUTED_VALUE"""),"일본")</f>
        <v>일본</v>
      </c>
      <c r="R115" s="14" t="str">
        <f ca="1">IFERROR(__xludf.DUMMYFUNCTION("""COMPUTED_VALUE"""),"Japonia")</f>
        <v>Japonia</v>
      </c>
      <c r="S115" s="14" t="str">
        <f ca="1">IFERROR(__xludf.DUMMYFUNCTION("""COMPUTED_VALUE"""),"Japão")</f>
        <v>Japão</v>
      </c>
      <c r="T115" s="14" t="str">
        <f ca="1">IFERROR(__xludf.DUMMYFUNCTION("""COMPUTED_VALUE"""),"Japonia")</f>
        <v>Japonia</v>
      </c>
      <c r="U115" s="14" t="str">
        <f ca="1">IFERROR(__xludf.DUMMYFUNCTION("""COMPUTED_VALUE"""),"Japan")</f>
        <v>Japan</v>
      </c>
      <c r="V115" s="14" t="str">
        <f ca="1">IFERROR(__xludf.DUMMYFUNCTION("""COMPUTED_VALUE"""),"Япония")</f>
        <v>Япония</v>
      </c>
      <c r="W115" s="14" t="str">
        <f ca="1">IFERROR(__xludf.DUMMYFUNCTION("""COMPUTED_VALUE"""),"Japan")</f>
        <v>Japan</v>
      </c>
      <c r="X115" s="14" t="str">
        <f ca="1">IFERROR(__xludf.DUMMYFUNCTION("""COMPUTED_VALUE"""),"Japonska")</f>
        <v>Japonska</v>
      </c>
      <c r="Y115" s="14" t="str">
        <f ca="1">IFERROR(__xludf.DUMMYFUNCTION("""COMPUTED_VALUE"""),"Japonsko")</f>
        <v>Japonsko</v>
      </c>
      <c r="Z115" s="14" t="str">
        <f ca="1">IFERROR(__xludf.DUMMYFUNCTION("""COMPUTED_VALUE"""),"ญี่ปุ่น")</f>
        <v>ญี่ปุ่น</v>
      </c>
      <c r="AA115" s="14" t="str">
        <f ca="1">IFERROR(__xludf.DUMMYFUNCTION("""COMPUTED_VALUE"""),"Japonya")</f>
        <v>Japonya</v>
      </c>
      <c r="AB115" s="14" t="str">
        <f ca="1">IFERROR(__xludf.DUMMYFUNCTION("""COMPUTED_VALUE"""),"JAPONYA")</f>
        <v>JAPONYA</v>
      </c>
      <c r="AC115" s="14" t="str">
        <f ca="1">IFERROR(__xludf.DUMMYFUNCTION("""COMPUTED_VALUE"""),"Японія")</f>
        <v>Японія</v>
      </c>
      <c r="AD115" s="14" t="str">
        <f ca="1">IFERROR(__xludf.DUMMYFUNCTION("""COMPUTED_VALUE"""),"Nhật Bản")</f>
        <v>Nhật Bản</v>
      </c>
      <c r="AE115" s="14" t="str">
        <f ca="1">IFERROR(__xludf.DUMMYFUNCTION("""COMPUTED_VALUE"""),"Жапония")</f>
        <v>Жапония</v>
      </c>
      <c r="AF115" s="14"/>
    </row>
    <row r="116" spans="1:32" ht="13" x14ac:dyDescent="0.15">
      <c r="A116" s="14" t="str">
        <f ca="1">IFERROR(__xludf.DUMMYFUNCTION("""COMPUTED_VALUE"""),"KE")</f>
        <v>KE</v>
      </c>
      <c r="B116" s="14" t="str">
        <f ca="1">IFERROR(__xludf.DUMMYFUNCTION("""COMPUTED_VALUE"""),"Kenya")</f>
        <v>Kenya</v>
      </c>
      <c r="C116" s="14" t="str">
        <f ca="1">IFERROR(__xludf.DUMMYFUNCTION("""COMPUTED_VALUE"""),"كينيا")</f>
        <v>كينيا</v>
      </c>
      <c r="D116" s="14" t="str">
        <f ca="1">IFERROR(__xludf.DUMMYFUNCTION("""COMPUTED_VALUE"""),"Кения")</f>
        <v>Кения</v>
      </c>
      <c r="E116" s="14" t="str">
        <f ca="1">IFERROR(__xludf.DUMMYFUNCTION("""COMPUTED_VALUE"""),"Quênia")</f>
        <v>Quênia</v>
      </c>
      <c r="F116" s="14" t="str">
        <f ca="1">IFERROR(__xludf.DUMMYFUNCTION("""COMPUTED_VALUE"""),"Кенія")</f>
        <v>Кенія</v>
      </c>
      <c r="G116" s="14" t="str">
        <f ca="1">IFERROR(__xludf.DUMMYFUNCTION("""COMPUTED_VALUE"""),"Keňa")</f>
        <v>Keňa</v>
      </c>
      <c r="H116" s="14" t="str">
        <f ca="1">IFERROR(__xludf.DUMMYFUNCTION("""COMPUTED_VALUE"""),"Kenia")</f>
        <v>Kenia</v>
      </c>
      <c r="I116" s="14" t="str">
        <f ca="1">IFERROR(__xludf.DUMMYFUNCTION("""COMPUTED_VALUE"""),"Kenya")</f>
        <v>Kenya</v>
      </c>
      <c r="J116" s="14" t="str">
        <f ca="1">IFERROR(__xludf.DUMMYFUNCTION("""COMPUTED_VALUE"""),"Kenia")</f>
        <v>Kenia</v>
      </c>
      <c r="K116" s="14" t="str">
        <f ca="1">IFERROR(__xludf.DUMMYFUNCTION("""COMPUTED_VALUE"""),"Κένυα")</f>
        <v>Κένυα</v>
      </c>
      <c r="L116" s="14" t="str">
        <f ca="1">IFERROR(__xludf.DUMMYFUNCTION("""COMPUTED_VALUE"""),"ΚΕΝΥΑ")</f>
        <v>ΚΕΝΥΑ</v>
      </c>
      <c r="M116" s="14" t="str">
        <f ca="1">IFERROR(__xludf.DUMMYFUNCTION("""COMPUTED_VALUE"""),"Kenija")</f>
        <v>Kenija</v>
      </c>
      <c r="N116" s="14" t="str">
        <f ca="1">IFERROR(__xludf.DUMMYFUNCTION("""COMPUTED_VALUE"""),"Kenya")</f>
        <v>Kenya</v>
      </c>
      <c r="O116" s="14" t="str">
        <f ca="1">IFERROR(__xludf.DUMMYFUNCTION("""COMPUTED_VALUE"""),"Kenya")</f>
        <v>Kenya</v>
      </c>
      <c r="P116" s="14" t="str">
        <f ca="1">IFERROR(__xludf.DUMMYFUNCTION("""COMPUTED_VALUE"""),"Kenya")</f>
        <v>Kenya</v>
      </c>
      <c r="Q116" s="14" t="str">
        <f ca="1">IFERROR(__xludf.DUMMYFUNCTION("""COMPUTED_VALUE"""),"케냐")</f>
        <v>케냐</v>
      </c>
      <c r="R116" s="14" t="str">
        <f ca="1">IFERROR(__xludf.DUMMYFUNCTION("""COMPUTED_VALUE"""),"Kenia")</f>
        <v>Kenia</v>
      </c>
      <c r="S116" s="14" t="str">
        <f ca="1">IFERROR(__xludf.DUMMYFUNCTION("""COMPUTED_VALUE"""),"Quênia")</f>
        <v>Quênia</v>
      </c>
      <c r="T116" s="14" t="str">
        <f ca="1">IFERROR(__xludf.DUMMYFUNCTION("""COMPUTED_VALUE"""),"Kenya")</f>
        <v>Kenya</v>
      </c>
      <c r="U116" s="14" t="str">
        <f ca="1">IFERROR(__xludf.DUMMYFUNCTION("""COMPUTED_VALUE"""),"Kenija")</f>
        <v>Kenija</v>
      </c>
      <c r="V116" s="14" t="str">
        <f ca="1">IFERROR(__xludf.DUMMYFUNCTION("""COMPUTED_VALUE"""),"Кения")</f>
        <v>Кения</v>
      </c>
      <c r="W116" s="14" t="str">
        <f ca="1">IFERROR(__xludf.DUMMYFUNCTION("""COMPUTED_VALUE"""),"Kenya")</f>
        <v>Kenya</v>
      </c>
      <c r="X116" s="14" t="str">
        <f ca="1">IFERROR(__xludf.DUMMYFUNCTION("""COMPUTED_VALUE"""),"Kenija")</f>
        <v>Kenija</v>
      </c>
      <c r="Y116" s="14" t="str">
        <f ca="1">IFERROR(__xludf.DUMMYFUNCTION("""COMPUTED_VALUE"""),"Keňa")</f>
        <v>Keňa</v>
      </c>
      <c r="Z116" s="14" t="str">
        <f ca="1">IFERROR(__xludf.DUMMYFUNCTION("""COMPUTED_VALUE"""),"เคนยา")</f>
        <v>เคนยา</v>
      </c>
      <c r="AA116" s="14" t="str">
        <f ca="1">IFERROR(__xludf.DUMMYFUNCTION("""COMPUTED_VALUE"""),"Kenya")</f>
        <v>Kenya</v>
      </c>
      <c r="AB116" s="14" t="str">
        <f ca="1">IFERROR(__xludf.DUMMYFUNCTION("""COMPUTED_VALUE"""),"KENYA")</f>
        <v>KENYA</v>
      </c>
      <c r="AC116" s="14" t="str">
        <f ca="1">IFERROR(__xludf.DUMMYFUNCTION("""COMPUTED_VALUE"""),"Кенія")</f>
        <v>Кенія</v>
      </c>
      <c r="AD116" s="14" t="str">
        <f ca="1">IFERROR(__xludf.DUMMYFUNCTION("""COMPUTED_VALUE"""),"Kenya")</f>
        <v>Kenya</v>
      </c>
      <c r="AE116" s="14" t="str">
        <f ca="1">IFERROR(__xludf.DUMMYFUNCTION("""COMPUTED_VALUE"""),"Кения")</f>
        <v>Кения</v>
      </c>
      <c r="AF116" s="14"/>
    </row>
    <row r="117" spans="1:32" ht="13" x14ac:dyDescent="0.15">
      <c r="A117" s="14" t="str">
        <f ca="1">IFERROR(__xludf.DUMMYFUNCTION("""COMPUTED_VALUE"""),"KG")</f>
        <v>KG</v>
      </c>
      <c r="B117" s="14" t="str">
        <f ca="1">IFERROR(__xludf.DUMMYFUNCTION("""COMPUTED_VALUE"""),"Kyrgyzstan")</f>
        <v>Kyrgyzstan</v>
      </c>
      <c r="C117" s="14" t="str">
        <f ca="1">IFERROR(__xludf.DUMMYFUNCTION("""COMPUTED_VALUE"""),"قرغيزستان")</f>
        <v>قرغيزستان</v>
      </c>
      <c r="D117" s="14" t="str">
        <f ca="1">IFERROR(__xludf.DUMMYFUNCTION("""COMPUTED_VALUE"""),"Киргизстан")</f>
        <v>Киргизстан</v>
      </c>
      <c r="E117" s="14" t="str">
        <f ca="1">IFERROR(__xludf.DUMMYFUNCTION("""COMPUTED_VALUE"""),"Quirguistão")</f>
        <v>Quirguistão</v>
      </c>
      <c r="F117" s="14" t="str">
        <f ca="1">IFERROR(__xludf.DUMMYFUNCTION("""COMPUTED_VALUE"""),"Кыргызстан")</f>
        <v>Кыргызстан</v>
      </c>
      <c r="G117" s="14" t="str">
        <f ca="1">IFERROR(__xludf.DUMMYFUNCTION("""COMPUTED_VALUE"""),"Kyrgyzstán")</f>
        <v>Kyrgyzstán</v>
      </c>
      <c r="H117" s="14" t="str">
        <f ca="1">IFERROR(__xludf.DUMMYFUNCTION("""COMPUTED_VALUE"""),"Kirgisistan")</f>
        <v>Kirgisistan</v>
      </c>
      <c r="I117" s="14" t="str">
        <f ca="1">IFERROR(__xludf.DUMMYFUNCTION("""COMPUTED_VALUE"""),"Kirguistán")</f>
        <v>Kirguistán</v>
      </c>
      <c r="J117" s="14" t="str">
        <f ca="1">IFERROR(__xludf.DUMMYFUNCTION("""COMPUTED_VALUE"""),"Kirgisia")</f>
        <v>Kirgisia</v>
      </c>
      <c r="K117" s="14" t="str">
        <f ca="1">IFERROR(__xludf.DUMMYFUNCTION("""COMPUTED_VALUE"""),"Κιργιζία")</f>
        <v>Κιργιζία</v>
      </c>
      <c r="L117" s="14" t="str">
        <f ca="1">IFERROR(__xludf.DUMMYFUNCTION("""COMPUTED_VALUE"""),"ΚΙΡΓΙΖΙΑ")</f>
        <v>ΚΙΡΓΙΖΙΑ</v>
      </c>
      <c r="M117" s="14" t="str">
        <f ca="1">IFERROR(__xludf.DUMMYFUNCTION("""COMPUTED_VALUE"""),"Kirgistan")</f>
        <v>Kirgistan</v>
      </c>
      <c r="N117" s="14" t="str">
        <f ca="1">IFERROR(__xludf.DUMMYFUNCTION("""COMPUTED_VALUE"""),"Kirgizisztán")</f>
        <v>Kirgizisztán</v>
      </c>
      <c r="O117" s="14" t="str">
        <f ca="1">IFERROR(__xludf.DUMMYFUNCTION("""COMPUTED_VALUE"""),"Kirgizstan")</f>
        <v>Kirgizstan</v>
      </c>
      <c r="P117" s="14" t="str">
        <f ca="1">IFERROR(__xludf.DUMMYFUNCTION("""COMPUTED_VALUE"""),"Kirghizistan")</f>
        <v>Kirghizistan</v>
      </c>
      <c r="Q117" s="14" t="str">
        <f ca="1">IFERROR(__xludf.DUMMYFUNCTION("""COMPUTED_VALUE"""),"키르기스스탄")</f>
        <v>키르기스스탄</v>
      </c>
      <c r="R117" s="14" t="str">
        <f ca="1">IFERROR(__xludf.DUMMYFUNCTION("""COMPUTED_VALUE"""),"Kirgistan")</f>
        <v>Kirgistan</v>
      </c>
      <c r="S117" s="14" t="str">
        <f ca="1">IFERROR(__xludf.DUMMYFUNCTION("""COMPUTED_VALUE"""),"Quirguistão")</f>
        <v>Quirguistão</v>
      </c>
      <c r="T117" s="14" t="str">
        <f ca="1">IFERROR(__xludf.DUMMYFUNCTION("""COMPUTED_VALUE"""),"Kârgâzstan")</f>
        <v>Kârgâzstan</v>
      </c>
      <c r="U117" s="14" t="str">
        <f ca="1">IFERROR(__xludf.DUMMYFUNCTION("""COMPUTED_VALUE"""),"Kirgizija")</f>
        <v>Kirgizija</v>
      </c>
      <c r="V117" s="14" t="str">
        <f ca="1">IFERROR(__xludf.DUMMYFUNCTION("""COMPUTED_VALUE"""),"Кыргызстан")</f>
        <v>Кыргызстан</v>
      </c>
      <c r="W117" s="14" t="str">
        <f ca="1">IFERROR(__xludf.DUMMYFUNCTION("""COMPUTED_VALUE"""),"Kirgizistan")</f>
        <v>Kirgizistan</v>
      </c>
      <c r="X117" s="14" t="str">
        <f ca="1">IFERROR(__xludf.DUMMYFUNCTION("""COMPUTED_VALUE"""),"Kirgizistan")</f>
        <v>Kirgizistan</v>
      </c>
      <c r="Y117" s="14" t="str">
        <f ca="1">IFERROR(__xludf.DUMMYFUNCTION("""COMPUTED_VALUE"""),"Kirgizsko")</f>
        <v>Kirgizsko</v>
      </c>
      <c r="Z117" s="14" t="str">
        <f ca="1">IFERROR(__xludf.DUMMYFUNCTION("""COMPUTED_VALUE"""),"คีร์กีซสถาน")</f>
        <v>คีร์กีซสถาน</v>
      </c>
      <c r="AA117" s="14" t="str">
        <f ca="1">IFERROR(__xludf.DUMMYFUNCTION("""COMPUTED_VALUE"""),"Kırgızistan")</f>
        <v>Kırgızistan</v>
      </c>
      <c r="AB117" s="14" t="str">
        <f ca="1">IFERROR(__xludf.DUMMYFUNCTION("""COMPUTED_VALUE"""),"KIRGIZİSTAN")</f>
        <v>KIRGIZİSTAN</v>
      </c>
      <c r="AC117" s="14" t="str">
        <f ca="1">IFERROR(__xludf.DUMMYFUNCTION("""COMPUTED_VALUE"""),"Киргизстан")</f>
        <v>Киргизстан</v>
      </c>
      <c r="AD117" s="14" t="str">
        <f ca="1">IFERROR(__xludf.DUMMYFUNCTION("""COMPUTED_VALUE"""),"Kyrgyzstan")</f>
        <v>Kyrgyzstan</v>
      </c>
      <c r="AE117" s="14" t="str">
        <f ca="1">IFERROR(__xludf.DUMMYFUNCTION("""COMPUTED_VALUE"""),"Қырғызстан")</f>
        <v>Қырғызстан</v>
      </c>
      <c r="AF117" s="14"/>
    </row>
    <row r="118" spans="1:32" ht="13" x14ac:dyDescent="0.15">
      <c r="A118" s="14" t="str">
        <f ca="1">IFERROR(__xludf.DUMMYFUNCTION("""COMPUTED_VALUE"""),"KH")</f>
        <v>KH</v>
      </c>
      <c r="B118" s="14" t="str">
        <f ca="1">IFERROR(__xludf.DUMMYFUNCTION("""COMPUTED_VALUE"""),"Cambodia")</f>
        <v>Cambodia</v>
      </c>
      <c r="C118" s="14" t="str">
        <f ca="1">IFERROR(__xludf.DUMMYFUNCTION("""COMPUTED_VALUE"""),"كمبوديا")</f>
        <v>كمبوديا</v>
      </c>
      <c r="D118" s="14" t="str">
        <f ca="1">IFERROR(__xludf.DUMMYFUNCTION("""COMPUTED_VALUE"""),"Камбоджа")</f>
        <v>Камбоджа</v>
      </c>
      <c r="E118" s="14" t="str">
        <f ca="1">IFERROR(__xludf.DUMMYFUNCTION("""COMPUTED_VALUE"""),"Cambodja")</f>
        <v>Cambodja</v>
      </c>
      <c r="F118" s="14" t="str">
        <f ca="1">IFERROR(__xludf.DUMMYFUNCTION("""COMPUTED_VALUE"""),"Камбоджа")</f>
        <v>Камбоджа</v>
      </c>
      <c r="G118" s="14" t="str">
        <f ca="1">IFERROR(__xludf.DUMMYFUNCTION("""COMPUTED_VALUE"""),"Kambodža")</f>
        <v>Kambodža</v>
      </c>
      <c r="H118" s="14" t="str">
        <f ca="1">IFERROR(__xludf.DUMMYFUNCTION("""COMPUTED_VALUE"""),"Kambodscha")</f>
        <v>Kambodscha</v>
      </c>
      <c r="I118" s="14" t="str">
        <f ca="1">IFERROR(__xludf.DUMMYFUNCTION("""COMPUTED_VALUE"""),"Camboya")</f>
        <v>Camboya</v>
      </c>
      <c r="J118" s="14" t="str">
        <f ca="1">IFERROR(__xludf.DUMMYFUNCTION("""COMPUTED_VALUE"""),"Kambodža")</f>
        <v>Kambodža</v>
      </c>
      <c r="K118" s="14" t="str">
        <f ca="1">IFERROR(__xludf.DUMMYFUNCTION("""COMPUTED_VALUE"""),"Καμπότζη")</f>
        <v>Καμπότζη</v>
      </c>
      <c r="L118" s="14" t="str">
        <f ca="1">IFERROR(__xludf.DUMMYFUNCTION("""COMPUTED_VALUE"""),"ΚΑΜΠΟΤΖΗ")</f>
        <v>ΚΑΜΠΟΤΖΗ</v>
      </c>
      <c r="M118" s="14" t="str">
        <f ca="1">IFERROR(__xludf.DUMMYFUNCTION("""COMPUTED_VALUE"""),"Kambodža")</f>
        <v>Kambodža</v>
      </c>
      <c r="N118" s="14" t="str">
        <f ca="1">IFERROR(__xludf.DUMMYFUNCTION("""COMPUTED_VALUE"""),"Kambodzsa")</f>
        <v>Kambodzsa</v>
      </c>
      <c r="O118" s="14" t="str">
        <f ca="1">IFERROR(__xludf.DUMMYFUNCTION("""COMPUTED_VALUE"""),"Kamboja")</f>
        <v>Kamboja</v>
      </c>
      <c r="P118" s="14" t="str">
        <f ca="1">IFERROR(__xludf.DUMMYFUNCTION("""COMPUTED_VALUE"""),"Cambogia")</f>
        <v>Cambogia</v>
      </c>
      <c r="Q118" s="14" t="str">
        <f ca="1">IFERROR(__xludf.DUMMYFUNCTION("""COMPUTED_VALUE"""),"캄보디아")</f>
        <v>캄보디아</v>
      </c>
      <c r="R118" s="14" t="str">
        <f ca="1">IFERROR(__xludf.DUMMYFUNCTION("""COMPUTED_VALUE"""),"Kambodża")</f>
        <v>Kambodża</v>
      </c>
      <c r="S118" s="14" t="str">
        <f ca="1">IFERROR(__xludf.DUMMYFUNCTION("""COMPUTED_VALUE"""),"Cambodja")</f>
        <v>Cambodja</v>
      </c>
      <c r="T118" s="14" t="str">
        <f ca="1">IFERROR(__xludf.DUMMYFUNCTION("""COMPUTED_VALUE"""),"Cambodgia")</f>
        <v>Cambodgia</v>
      </c>
      <c r="U118" s="14" t="str">
        <f ca="1">IFERROR(__xludf.DUMMYFUNCTION("""COMPUTED_VALUE"""),"Kambodža")</f>
        <v>Kambodža</v>
      </c>
      <c r="V118" s="14" t="str">
        <f ca="1">IFERROR(__xludf.DUMMYFUNCTION("""COMPUTED_VALUE"""),"Камбоджа")</f>
        <v>Камбоджа</v>
      </c>
      <c r="W118" s="14" t="str">
        <f ca="1">IFERROR(__xludf.DUMMYFUNCTION("""COMPUTED_VALUE"""),"Kambodja")</f>
        <v>Kambodja</v>
      </c>
      <c r="X118" s="14" t="str">
        <f ca="1">IFERROR(__xludf.DUMMYFUNCTION("""COMPUTED_VALUE"""),"Kambodža")</f>
        <v>Kambodža</v>
      </c>
      <c r="Y118" s="14" t="str">
        <f ca="1">IFERROR(__xludf.DUMMYFUNCTION("""COMPUTED_VALUE"""),"Kambodža")</f>
        <v>Kambodža</v>
      </c>
      <c r="Z118" s="14" t="str">
        <f ca="1">IFERROR(__xludf.DUMMYFUNCTION("""COMPUTED_VALUE"""),"กัมพูชา")</f>
        <v>กัมพูชา</v>
      </c>
      <c r="AA118" s="14" t="str">
        <f ca="1">IFERROR(__xludf.DUMMYFUNCTION("""COMPUTED_VALUE"""),"Kamboçya")</f>
        <v>Kamboçya</v>
      </c>
      <c r="AB118" s="14" t="str">
        <f ca="1">IFERROR(__xludf.DUMMYFUNCTION("""COMPUTED_VALUE"""),"KAMBOÇYA")</f>
        <v>KAMBOÇYA</v>
      </c>
      <c r="AC118" s="14" t="str">
        <f ca="1">IFERROR(__xludf.DUMMYFUNCTION("""COMPUTED_VALUE"""),"Камбоджа")</f>
        <v>Камбоджа</v>
      </c>
      <c r="AD118" s="14" t="str">
        <f ca="1">IFERROR(__xludf.DUMMYFUNCTION("""COMPUTED_VALUE"""),"Campuchia")</f>
        <v>Campuchia</v>
      </c>
      <c r="AE118" s="14" t="str">
        <f ca="1">IFERROR(__xludf.DUMMYFUNCTION("""COMPUTED_VALUE"""),"Камбоджа")</f>
        <v>Камбоджа</v>
      </c>
      <c r="AF118" s="14"/>
    </row>
    <row r="119" spans="1:32" ht="13" x14ac:dyDescent="0.15">
      <c r="A119" s="14" t="str">
        <f ca="1">IFERROR(__xludf.DUMMYFUNCTION("""COMPUTED_VALUE"""),"KI")</f>
        <v>KI</v>
      </c>
      <c r="B119" s="14" t="str">
        <f ca="1">IFERROR(__xludf.DUMMYFUNCTION("""COMPUTED_VALUE"""),"Kiribati")</f>
        <v>Kiribati</v>
      </c>
      <c r="C119" s="14" t="str">
        <f ca="1">IFERROR(__xludf.DUMMYFUNCTION("""COMPUTED_VALUE"""),"كيريباتي")</f>
        <v>كيريباتي</v>
      </c>
      <c r="D119" s="14" t="str">
        <f ca="1">IFERROR(__xludf.DUMMYFUNCTION("""COMPUTED_VALUE"""),"Кирибати")</f>
        <v>Кирибати</v>
      </c>
      <c r="E119" s="14" t="str">
        <f ca="1">IFERROR(__xludf.DUMMYFUNCTION("""COMPUTED_VALUE"""),"Kiribati")</f>
        <v>Kiribati</v>
      </c>
      <c r="F119" s="14" t="str">
        <f ca="1">IFERROR(__xludf.DUMMYFUNCTION("""COMPUTED_VALUE"""),"Кірыбаці")</f>
        <v>Кірыбаці</v>
      </c>
      <c r="G119" s="14" t="str">
        <f ca="1">IFERROR(__xludf.DUMMYFUNCTION("""COMPUTED_VALUE"""),"Kiribati")</f>
        <v>Kiribati</v>
      </c>
      <c r="H119" s="14" t="str">
        <f ca="1">IFERROR(__xludf.DUMMYFUNCTION("""COMPUTED_VALUE"""),"Kiribati")</f>
        <v>Kiribati</v>
      </c>
      <c r="I119" s="14" t="str">
        <f ca="1">IFERROR(__xludf.DUMMYFUNCTION("""COMPUTED_VALUE"""),"Kiribati")</f>
        <v>Kiribati</v>
      </c>
      <c r="J119" s="14" t="str">
        <f ca="1">IFERROR(__xludf.DUMMYFUNCTION("""COMPUTED_VALUE"""),"Kiribati")</f>
        <v>Kiribati</v>
      </c>
      <c r="K119" s="14" t="str">
        <f ca="1">IFERROR(__xludf.DUMMYFUNCTION("""COMPUTED_VALUE"""),"Κιριμπάτι")</f>
        <v>Κιριμπάτι</v>
      </c>
      <c r="L119" s="14" t="str">
        <f ca="1">IFERROR(__xludf.DUMMYFUNCTION("""COMPUTED_VALUE"""),"ΚΙΡΙΜΠΑΤΙ")</f>
        <v>ΚΙΡΙΜΠΑΤΙ</v>
      </c>
      <c r="M119" s="14" t="str">
        <f ca="1">IFERROR(__xludf.DUMMYFUNCTION("""COMPUTED_VALUE"""),"Kiribati")</f>
        <v>Kiribati</v>
      </c>
      <c r="N119" s="14" t="str">
        <f ca="1">IFERROR(__xludf.DUMMYFUNCTION("""COMPUTED_VALUE"""),"Kiribati")</f>
        <v>Kiribati</v>
      </c>
      <c r="O119" s="14" t="str">
        <f ca="1">IFERROR(__xludf.DUMMYFUNCTION("""COMPUTED_VALUE"""),"Kiribati")</f>
        <v>Kiribati</v>
      </c>
      <c r="P119" s="14" t="str">
        <f ca="1">IFERROR(__xludf.DUMMYFUNCTION("""COMPUTED_VALUE"""),"Kiribati")</f>
        <v>Kiribati</v>
      </c>
      <c r="Q119" s="14" t="str">
        <f ca="1">IFERROR(__xludf.DUMMYFUNCTION("""COMPUTED_VALUE"""),"키리바시")</f>
        <v>키리바시</v>
      </c>
      <c r="R119" s="14" t="str">
        <f ca="1">IFERROR(__xludf.DUMMYFUNCTION("""COMPUTED_VALUE"""),"Kiribati")</f>
        <v>Kiribati</v>
      </c>
      <c r="S119" s="14" t="str">
        <f ca="1">IFERROR(__xludf.DUMMYFUNCTION("""COMPUTED_VALUE"""),"Kiribati")</f>
        <v>Kiribati</v>
      </c>
      <c r="T119" s="14" t="str">
        <f ca="1">IFERROR(__xludf.DUMMYFUNCTION("""COMPUTED_VALUE"""),"Kiribati")</f>
        <v>Kiribati</v>
      </c>
      <c r="U119" s="14" t="str">
        <f ca="1">IFERROR(__xludf.DUMMYFUNCTION("""COMPUTED_VALUE"""),"Kiribati")</f>
        <v>Kiribati</v>
      </c>
      <c r="V119" s="14" t="str">
        <f ca="1">IFERROR(__xludf.DUMMYFUNCTION("""COMPUTED_VALUE"""),"Кирибати")</f>
        <v>Кирибати</v>
      </c>
      <c r="W119" s="14" t="str">
        <f ca="1">IFERROR(__xludf.DUMMYFUNCTION("""COMPUTED_VALUE"""),"Kiribati")</f>
        <v>Kiribati</v>
      </c>
      <c r="X119" s="14" t="str">
        <f ca="1">IFERROR(__xludf.DUMMYFUNCTION("""COMPUTED_VALUE"""),"Kiribati")</f>
        <v>Kiribati</v>
      </c>
      <c r="Y119" s="14" t="str">
        <f ca="1">IFERROR(__xludf.DUMMYFUNCTION("""COMPUTED_VALUE"""),"Kiribati")</f>
        <v>Kiribati</v>
      </c>
      <c r="Z119" s="14" t="str">
        <f ca="1">IFERROR(__xludf.DUMMYFUNCTION("""COMPUTED_VALUE"""),"คิริบาส")</f>
        <v>คิริบาส</v>
      </c>
      <c r="AA119" s="14" t="str">
        <f ca="1">IFERROR(__xludf.DUMMYFUNCTION("""COMPUTED_VALUE"""),"Kiribati")</f>
        <v>Kiribati</v>
      </c>
      <c r="AB119" s="14" t="str">
        <f ca="1">IFERROR(__xludf.DUMMYFUNCTION("""COMPUTED_VALUE"""),"KİRİBATİ")</f>
        <v>KİRİBATİ</v>
      </c>
      <c r="AC119" s="14" t="str">
        <f ca="1">IFERROR(__xludf.DUMMYFUNCTION("""COMPUTED_VALUE"""),"Кірибаті")</f>
        <v>Кірибаті</v>
      </c>
      <c r="AD119" s="14" t="str">
        <f ca="1">IFERROR(__xludf.DUMMYFUNCTION("""COMPUTED_VALUE"""),"Kiribati")</f>
        <v>Kiribati</v>
      </c>
      <c r="AE119" s="14" t="str">
        <f ca="1">IFERROR(__xludf.DUMMYFUNCTION("""COMPUTED_VALUE"""),"Кирибати")</f>
        <v>Кирибати</v>
      </c>
      <c r="AF119" s="14"/>
    </row>
    <row r="120" spans="1:32" ht="13" x14ac:dyDescent="0.15">
      <c r="A120" s="14" t="str">
        <f ca="1">IFERROR(__xludf.DUMMYFUNCTION("""COMPUTED_VALUE"""),"KM")</f>
        <v>KM</v>
      </c>
      <c r="B120" s="14" t="str">
        <f ca="1">IFERROR(__xludf.DUMMYFUNCTION("""COMPUTED_VALUE"""),"Comoros")</f>
        <v>Comoros</v>
      </c>
      <c r="C120" s="14" t="str">
        <f ca="1">IFERROR(__xludf.DUMMYFUNCTION("""COMPUTED_VALUE"""),"جزر القمر")</f>
        <v>جزر القمر</v>
      </c>
      <c r="D120" s="14" t="str">
        <f ca="1">IFERROR(__xludf.DUMMYFUNCTION("""COMPUTED_VALUE"""),"Коморски острови")</f>
        <v>Коморски острови</v>
      </c>
      <c r="E120" s="14" t="str">
        <f ca="1">IFERROR(__xludf.DUMMYFUNCTION("""COMPUTED_VALUE"""),"Comores")</f>
        <v>Comores</v>
      </c>
      <c r="F120" s="14" t="str">
        <f ca="1">IFERROR(__xludf.DUMMYFUNCTION("""COMPUTED_VALUE"""),"Каморскія астравы")</f>
        <v>Каморскія астравы</v>
      </c>
      <c r="G120" s="14" t="str">
        <f ca="1">IFERROR(__xludf.DUMMYFUNCTION("""COMPUTED_VALUE"""),"Komory")</f>
        <v>Komory</v>
      </c>
      <c r="H120" s="14" t="str">
        <f ca="1">IFERROR(__xludf.DUMMYFUNCTION("""COMPUTED_VALUE"""),"Komoren")</f>
        <v>Komoren</v>
      </c>
      <c r="I120" s="14" t="str">
        <f ca="1">IFERROR(__xludf.DUMMYFUNCTION("""COMPUTED_VALUE"""),"Comoras (las)")</f>
        <v>Comoras (las)</v>
      </c>
      <c r="J120" s="14" t="str">
        <f ca="1">IFERROR(__xludf.DUMMYFUNCTION("""COMPUTED_VALUE"""),"Komorit")</f>
        <v>Komorit</v>
      </c>
      <c r="K120" s="14" t="str">
        <f ca="1">IFERROR(__xludf.DUMMYFUNCTION("""COMPUTED_VALUE"""),"Κομόρες")</f>
        <v>Κομόρες</v>
      </c>
      <c r="L120" s="14" t="str">
        <f ca="1">IFERROR(__xludf.DUMMYFUNCTION("""COMPUTED_VALUE"""),"ΚΟΜΟΡΕΣ")</f>
        <v>ΚΟΜΟΡΕΣ</v>
      </c>
      <c r="M120" s="14" t="str">
        <f ca="1">IFERROR(__xludf.DUMMYFUNCTION("""COMPUTED_VALUE"""),"Komori")</f>
        <v>Komori</v>
      </c>
      <c r="N120" s="14" t="str">
        <f ca="1">IFERROR(__xludf.DUMMYFUNCTION("""COMPUTED_VALUE"""),"Comore-szigetek")</f>
        <v>Comore-szigetek</v>
      </c>
      <c r="O120" s="14" t="str">
        <f ca="1">IFERROR(__xludf.DUMMYFUNCTION("""COMPUTED_VALUE"""),"Komoro")</f>
        <v>Komoro</v>
      </c>
      <c r="P120" s="14" t="str">
        <f ca="1">IFERROR(__xludf.DUMMYFUNCTION("""COMPUTED_VALUE"""),"Comore")</f>
        <v>Comore</v>
      </c>
      <c r="Q120" s="14" t="str">
        <f ca="1">IFERROR(__xludf.DUMMYFUNCTION("""COMPUTED_VALUE"""),"코모로")</f>
        <v>코모로</v>
      </c>
      <c r="R120" s="14" t="str">
        <f ca="1">IFERROR(__xludf.DUMMYFUNCTION("""COMPUTED_VALUE"""),"Komory")</f>
        <v>Komory</v>
      </c>
      <c r="S120" s="14" t="str">
        <f ca="1">IFERROR(__xludf.DUMMYFUNCTION("""COMPUTED_VALUE"""),"Comores")</f>
        <v>Comores</v>
      </c>
      <c r="T120" s="14" t="str">
        <f ca="1">IFERROR(__xludf.DUMMYFUNCTION("""COMPUTED_VALUE"""),"Comore")</f>
        <v>Comore</v>
      </c>
      <c r="U120" s="14" t="str">
        <f ca="1">IFERROR(__xludf.DUMMYFUNCTION("""COMPUTED_VALUE"""),"Komori")</f>
        <v>Komori</v>
      </c>
      <c r="V120" s="14" t="str">
        <f ca="1">IFERROR(__xludf.DUMMYFUNCTION("""COMPUTED_VALUE"""),"Коморы")</f>
        <v>Коморы</v>
      </c>
      <c r="W120" s="14" t="str">
        <f ca="1">IFERROR(__xludf.DUMMYFUNCTION("""COMPUTED_VALUE"""),"Komorerna")</f>
        <v>Komorerna</v>
      </c>
      <c r="X120" s="14" t="str">
        <f ca="1">IFERROR(__xludf.DUMMYFUNCTION("""COMPUTED_VALUE"""),"Komori")</f>
        <v>Komori</v>
      </c>
      <c r="Y120" s="14" t="str">
        <f ca="1">IFERROR(__xludf.DUMMYFUNCTION("""COMPUTED_VALUE"""),"Komory")</f>
        <v>Komory</v>
      </c>
      <c r="Z120" s="14" t="str">
        <f ca="1">IFERROR(__xludf.DUMMYFUNCTION("""COMPUTED_VALUE"""),"คอโมโรส")</f>
        <v>คอโมโรส</v>
      </c>
      <c r="AA120" s="14" t="str">
        <f ca="1">IFERROR(__xludf.DUMMYFUNCTION("""COMPUTED_VALUE"""),"Komorlar")</f>
        <v>Komorlar</v>
      </c>
      <c r="AB120" s="14" t="str">
        <f ca="1">IFERROR(__xludf.DUMMYFUNCTION("""COMPUTED_VALUE"""),"KOMORLAR")</f>
        <v>KOMORLAR</v>
      </c>
      <c r="AC120" s="14" t="str">
        <f ca="1">IFERROR(__xludf.DUMMYFUNCTION("""COMPUTED_VALUE"""),"Коморські Острови")</f>
        <v>Коморські Острови</v>
      </c>
      <c r="AD120" s="14" t="str">
        <f ca="1">IFERROR(__xludf.DUMMYFUNCTION("""COMPUTED_VALUE"""),"Comoros")</f>
        <v>Comoros</v>
      </c>
      <c r="AE120" s="14" t="str">
        <f ca="1">IFERROR(__xludf.DUMMYFUNCTION("""COMPUTED_VALUE"""),"Коморлар")</f>
        <v>Коморлар</v>
      </c>
      <c r="AF120" s="14"/>
    </row>
    <row r="121" spans="1:32" ht="13" x14ac:dyDescent="0.15">
      <c r="A121" s="14" t="str">
        <f ca="1">IFERROR(__xludf.DUMMYFUNCTION("""COMPUTED_VALUE"""),"KN")</f>
        <v>KN</v>
      </c>
      <c r="B121" s="14" t="str">
        <f ca="1">IFERROR(__xludf.DUMMYFUNCTION("""COMPUTED_VALUE"""),"Saint Kitts and Nevis")</f>
        <v>Saint Kitts and Nevis</v>
      </c>
      <c r="C121" s="14" t="str">
        <f ca="1">IFERROR(__xludf.DUMMYFUNCTION("""COMPUTED_VALUE"""),"سانت كيتس ونيفيس")</f>
        <v>سانت كيتس ونيفيس</v>
      </c>
      <c r="D121" s="14" t="str">
        <f ca="1">IFERROR(__xludf.DUMMYFUNCTION("""COMPUTED_VALUE"""),"Сейнт Китс и Невис")</f>
        <v>Сейнт Китс и Невис</v>
      </c>
      <c r="E121" s="14" t="str">
        <f ca="1">IFERROR(__xludf.DUMMYFUNCTION("""COMPUTED_VALUE"""),"São Cristóvão e Névis (Saint Kitts e Nevis)")</f>
        <v>São Cristóvão e Névis (Saint Kitts e Nevis)</v>
      </c>
      <c r="F121" s="14" t="str">
        <f ca="1">IFERROR(__xludf.DUMMYFUNCTION("""COMPUTED_VALUE"""),"Сент-Кітс і Невіс")</f>
        <v>Сент-Кітс і Невіс</v>
      </c>
      <c r="G121" s="14" t="str">
        <f ca="1">IFERROR(__xludf.DUMMYFUNCTION("""COMPUTED_VALUE"""),"Svatý Kryštof a Nevis")</f>
        <v>Svatý Kryštof a Nevis</v>
      </c>
      <c r="H121" s="14" t="str">
        <f ca="1">IFERROR(__xludf.DUMMYFUNCTION("""COMPUTED_VALUE"""),"St. Kitts und Nevis")</f>
        <v>St. Kitts und Nevis</v>
      </c>
      <c r="I121" s="14" t="str">
        <f ca="1">IFERROR(__xludf.DUMMYFUNCTION("""COMPUTED_VALUE"""),"Saint Kitts y Nevis")</f>
        <v>Saint Kitts y Nevis</v>
      </c>
      <c r="J121" s="14" t="str">
        <f ca="1">IFERROR(__xludf.DUMMYFUNCTION("""COMPUTED_VALUE"""),"Saint Kitts ja Nevis")</f>
        <v>Saint Kitts ja Nevis</v>
      </c>
      <c r="K121" s="14" t="str">
        <f ca="1">IFERROR(__xludf.DUMMYFUNCTION("""COMPUTED_VALUE"""),"Άγιος Χριστόφορος και Νέβις")</f>
        <v>Άγιος Χριστόφορος και Νέβις</v>
      </c>
      <c r="L121" s="14" t="str">
        <f ca="1">IFERROR(__xludf.DUMMYFUNCTION("""COMPUTED_VALUE"""),"ΑΓΙΟΣ ΧΡΙΣΤΟΦΟΡΟΣ ΚΑΙ ΝΕΒΙΣ")</f>
        <v>ΑΓΙΟΣ ΧΡΙΣΤΟΦΟΡΟΣ ΚΑΙ ΝΕΒΙΣ</v>
      </c>
      <c r="M121" s="14" t="str">
        <f ca="1">IFERROR(__xludf.DUMMYFUNCTION("""COMPUTED_VALUE"""),"Sveti Kristofor i Nevis")</f>
        <v>Sveti Kristofor i Nevis</v>
      </c>
      <c r="N121" s="14" t="str">
        <f ca="1">IFERROR(__xludf.DUMMYFUNCTION("""COMPUTED_VALUE"""),"Saint Kitts és Nevis")</f>
        <v>Saint Kitts és Nevis</v>
      </c>
      <c r="O121" s="14" t="str">
        <f ca="1">IFERROR(__xludf.DUMMYFUNCTION("""COMPUTED_VALUE"""),"Saint Kitts dan Nevis")</f>
        <v>Saint Kitts dan Nevis</v>
      </c>
      <c r="P121" s="14" t="str">
        <f ca="1">IFERROR(__xludf.DUMMYFUNCTION("""COMPUTED_VALUE"""),"Saint Kitts e Nevis")</f>
        <v>Saint Kitts e Nevis</v>
      </c>
      <c r="Q121" s="14" t="str">
        <f ca="1">IFERROR(__xludf.DUMMYFUNCTION("""COMPUTED_VALUE"""),"세인트키츠 네비스")</f>
        <v>세인트키츠 네비스</v>
      </c>
      <c r="R121" s="14" t="str">
        <f ca="1">IFERROR(__xludf.DUMMYFUNCTION("""COMPUTED_VALUE"""),"Saint Kitts i Nevis")</f>
        <v>Saint Kitts i Nevis</v>
      </c>
      <c r="S121" s="14" t="str">
        <f ca="1">IFERROR(__xludf.DUMMYFUNCTION("""COMPUTED_VALUE"""),"São Cristóvão e Névis (Saint Kitts e Nevis)")</f>
        <v>São Cristóvão e Névis (Saint Kitts e Nevis)</v>
      </c>
      <c r="T121" s="14" t="str">
        <f ca="1">IFERROR(__xludf.DUMMYFUNCTION("""COMPUTED_VALUE"""),"Sfântul Kitts și Nevis")</f>
        <v>Sfântul Kitts și Nevis</v>
      </c>
      <c r="U121" s="14" t="str">
        <f ca="1">IFERROR(__xludf.DUMMYFUNCTION("""COMPUTED_VALUE"""),"Sveti Kits i Nevis")</f>
        <v>Sveti Kits i Nevis</v>
      </c>
      <c r="V121" s="14" t="str">
        <f ca="1">IFERROR(__xludf.DUMMYFUNCTION("""COMPUTED_VALUE"""),"Сент-Китс и Невис")</f>
        <v>Сент-Китс и Невис</v>
      </c>
      <c r="W121" s="14" t="str">
        <f ca="1">IFERROR(__xludf.DUMMYFUNCTION("""COMPUTED_VALUE"""),"Saint Kitts och Nevis")</f>
        <v>Saint Kitts och Nevis</v>
      </c>
      <c r="X121" s="14" t="str">
        <f ca="1">IFERROR(__xludf.DUMMYFUNCTION("""COMPUTED_VALUE"""),"Saint Kitts in Nevis")</f>
        <v>Saint Kitts in Nevis</v>
      </c>
      <c r="Y121" s="14" t="str">
        <f ca="1">IFERROR(__xludf.DUMMYFUNCTION("""COMPUTED_VALUE"""),"Svätý Krištof a Nevis")</f>
        <v>Svätý Krištof a Nevis</v>
      </c>
      <c r="Z121" s="14" t="str">
        <f ca="1">IFERROR(__xludf.DUMMYFUNCTION("""COMPUTED_VALUE"""),"เซนต์คิตส์และเนวิส")</f>
        <v>เซนต์คิตส์และเนวิส</v>
      </c>
      <c r="AA121" s="14" t="str">
        <f ca="1">IFERROR(__xludf.DUMMYFUNCTION("""COMPUTED_VALUE"""),"Saint Kitts ve Nevis")</f>
        <v>Saint Kitts ve Nevis</v>
      </c>
      <c r="AB121" s="14" t="str">
        <f ca="1">IFERROR(__xludf.DUMMYFUNCTION("""COMPUTED_VALUE"""),"SAİNT KİTTS VE NEVİS")</f>
        <v>SAİNT KİTTS VE NEVİS</v>
      </c>
      <c r="AC121" s="14" t="str">
        <f ca="1">IFERROR(__xludf.DUMMYFUNCTION("""COMPUTED_VALUE"""),"Сент-Кіттс і Невіс")</f>
        <v>Сент-Кіттс і Невіс</v>
      </c>
      <c r="AD121" s="14" t="str">
        <f ca="1">IFERROR(__xludf.DUMMYFUNCTION("""COMPUTED_VALUE"""),"Saint Kitts và Nevis")</f>
        <v>Saint Kitts và Nevis</v>
      </c>
      <c r="AE121" s="14" t="str">
        <f ca="1">IFERROR(__xludf.DUMMYFUNCTION("""COMPUTED_VALUE"""),"Сент-Китс және Невис")</f>
        <v>Сент-Китс және Невис</v>
      </c>
      <c r="AF121" s="14"/>
    </row>
    <row r="122" spans="1:32" ht="13" x14ac:dyDescent="0.15">
      <c r="A122" s="14" t="str">
        <f ca="1">IFERROR(__xludf.DUMMYFUNCTION("""COMPUTED_VALUE"""),"KP")</f>
        <v>KP</v>
      </c>
      <c r="B122" s="14" t="str">
        <f ca="1">IFERROR(__xludf.DUMMYFUNCTION("""COMPUTED_VALUE"""),"North Korea")</f>
        <v>North Korea</v>
      </c>
      <c r="C122" s="14" t="str">
        <f ca="1">IFERROR(__xludf.DUMMYFUNCTION("""COMPUTED_VALUE"""),"كوريا الشمالية")</f>
        <v>كوريا الشمالية</v>
      </c>
      <c r="D122" s="14" t="str">
        <f ca="1">IFERROR(__xludf.DUMMYFUNCTION("""COMPUTED_VALUE"""),"Северна Корея")</f>
        <v>Северна Корея</v>
      </c>
      <c r="E122" s="14" t="str">
        <f ca="1">IFERROR(__xludf.DUMMYFUNCTION("""COMPUTED_VALUE"""),"Coreia do Norte")</f>
        <v>Coreia do Norte</v>
      </c>
      <c r="F122" s="14" t="str">
        <f ca="1">IFERROR(__xludf.DUMMYFUNCTION("""COMPUTED_VALUE"""),"Паўночная Карэя")</f>
        <v>Паўночная Карэя</v>
      </c>
      <c r="G122" s="14" t="str">
        <f ca="1">IFERROR(__xludf.DUMMYFUNCTION("""COMPUTED_VALUE"""),"Severní Korea")</f>
        <v>Severní Korea</v>
      </c>
      <c r="H122" s="14" t="str">
        <f ca="1">IFERROR(__xludf.DUMMYFUNCTION("""COMPUTED_VALUE"""),"Korea, Demokratische Volksrepublik (Nordkorea)")</f>
        <v>Korea, Demokratische Volksrepublik (Nordkorea)</v>
      </c>
      <c r="I122" s="14" t="str">
        <f ca="1">IFERROR(__xludf.DUMMYFUNCTION("""COMPUTED_VALUE"""),"Corea del Norte")</f>
        <v>Corea del Norte</v>
      </c>
      <c r="J122" s="14" t="str">
        <f ca="1">IFERROR(__xludf.DUMMYFUNCTION("""COMPUTED_VALUE"""),"Korean demokraattinen kansantasavalta")</f>
        <v>Korean demokraattinen kansantasavalta</v>
      </c>
      <c r="K122" s="14" t="str">
        <f ca="1">IFERROR(__xludf.DUMMYFUNCTION("""COMPUTED_VALUE"""),"Βόρεια Κορέα")</f>
        <v>Βόρεια Κορέα</v>
      </c>
      <c r="L122" s="14" t="str">
        <f ca="1">IFERROR(__xludf.DUMMYFUNCTION("""COMPUTED_VALUE"""),"ΒΟΡΕΙΑ ΚΟΡΕΑ")</f>
        <v>ΒΟΡΕΙΑ ΚΟΡΕΑ</v>
      </c>
      <c r="M122" s="14" t="str">
        <f ca="1">IFERROR(__xludf.DUMMYFUNCTION("""COMPUTED_VALUE"""),"Sjeverna Korea")</f>
        <v>Sjeverna Korea</v>
      </c>
      <c r="N122" s="14" t="str">
        <f ca="1">IFERROR(__xludf.DUMMYFUNCTION("""COMPUTED_VALUE"""),"Észak-Korea")</f>
        <v>Észak-Korea</v>
      </c>
      <c r="O122" s="14" t="str">
        <f ca="1">IFERROR(__xludf.DUMMYFUNCTION("""COMPUTED_VALUE"""),"Korea Utara")</f>
        <v>Korea Utara</v>
      </c>
      <c r="P122" s="14" t="str">
        <f ca="1">IFERROR(__xludf.DUMMYFUNCTION("""COMPUTED_VALUE"""),"Corea del Nord")</f>
        <v>Corea del Nord</v>
      </c>
      <c r="Q122" s="14" t="str">
        <f ca="1">IFERROR(__xludf.DUMMYFUNCTION("""COMPUTED_VALUE"""),"조선민주주의인민공화국")</f>
        <v>조선민주주의인민공화국</v>
      </c>
      <c r="R122" s="14" t="str">
        <f ca="1">IFERROR(__xludf.DUMMYFUNCTION("""COMPUTED_VALUE"""),"Korea Północna")</f>
        <v>Korea Północna</v>
      </c>
      <c r="S122" s="14" t="str">
        <f ca="1">IFERROR(__xludf.DUMMYFUNCTION("""COMPUTED_VALUE"""),"Coreia do Norte")</f>
        <v>Coreia do Norte</v>
      </c>
      <c r="T122" s="14" t="str">
        <f ca="1">IFERROR(__xludf.DUMMYFUNCTION("""COMPUTED_VALUE"""),"Coreea de Nord")</f>
        <v>Coreea de Nord</v>
      </c>
      <c r="U122" s="14" t="str">
        <f ca="1">IFERROR(__xludf.DUMMYFUNCTION("""COMPUTED_VALUE"""),"Severna Koreja")</f>
        <v>Severna Koreja</v>
      </c>
      <c r="V122" s="14" t="str">
        <f ca="1">IFERROR(__xludf.DUMMYFUNCTION("""COMPUTED_VALUE"""),"КНДР")</f>
        <v>КНДР</v>
      </c>
      <c r="W122" s="14" t="str">
        <f ca="1">IFERROR(__xludf.DUMMYFUNCTION("""COMPUTED_VALUE"""),"Nordkorea")</f>
        <v>Nordkorea</v>
      </c>
      <c r="X122" s="14" t="str">
        <f ca="1">IFERROR(__xludf.DUMMYFUNCTION("""COMPUTED_VALUE"""),"Severna Koreja")</f>
        <v>Severna Koreja</v>
      </c>
      <c r="Y122" s="14" t="str">
        <f ca="1">IFERROR(__xludf.DUMMYFUNCTION("""COMPUTED_VALUE"""),"Kórejská ľudovodemokratická republika")</f>
        <v>Kórejská ľudovodemokratická republika</v>
      </c>
      <c r="Z122" s="14" t="str">
        <f ca="1">IFERROR(__xludf.DUMMYFUNCTION("""COMPUTED_VALUE"""),"เกาหลีเหนือ")</f>
        <v>เกาหลีเหนือ</v>
      </c>
      <c r="AA122" s="14" t="str">
        <f ca="1">IFERROR(__xludf.DUMMYFUNCTION("""COMPUTED_VALUE"""),"Kore Demokratik Halk Cumhuriyeti")</f>
        <v>Kore Demokratik Halk Cumhuriyeti</v>
      </c>
      <c r="AB122" s="14" t="str">
        <f ca="1">IFERROR(__xludf.DUMMYFUNCTION("""COMPUTED_VALUE"""),"KORE DEMOKRATİK HALK CUMHURİYETİ")</f>
        <v>KORE DEMOKRATİK HALK CUMHURİYETİ</v>
      </c>
      <c r="AC122" s="14" t="str">
        <f ca="1">IFERROR(__xludf.DUMMYFUNCTION("""COMPUTED_VALUE"""),"Північна Корея")</f>
        <v>Північна Корея</v>
      </c>
      <c r="AD122" s="14" t="str">
        <f ca="1">IFERROR(__xludf.DUMMYFUNCTION("""COMPUTED_VALUE"""),"Triều Tiên")</f>
        <v>Triều Tiên</v>
      </c>
      <c r="AE122" s="14" t="str">
        <f ca="1">IFERROR(__xludf.DUMMYFUNCTION("""COMPUTED_VALUE"""),"КХДР")</f>
        <v>КХДР</v>
      </c>
      <c r="AF122" s="14"/>
    </row>
    <row r="123" spans="1:32" ht="13" x14ac:dyDescent="0.15">
      <c r="A123" s="14" t="str">
        <f ca="1">IFERROR(__xludf.DUMMYFUNCTION("""COMPUTED_VALUE"""),"KR")</f>
        <v>KR</v>
      </c>
      <c r="B123" s="14" t="str">
        <f ca="1">IFERROR(__xludf.DUMMYFUNCTION("""COMPUTED_VALUE"""),"South Korea")</f>
        <v>South Korea</v>
      </c>
      <c r="C123" s="14" t="str">
        <f ca="1">IFERROR(__xludf.DUMMYFUNCTION("""COMPUTED_VALUE"""),"كوريا الجنوبية")</f>
        <v>كوريا الجنوبية</v>
      </c>
      <c r="D123" s="14" t="str">
        <f ca="1">IFERROR(__xludf.DUMMYFUNCTION("""COMPUTED_VALUE"""),"Южна Корея")</f>
        <v>Южна Корея</v>
      </c>
      <c r="E123" s="14" t="str">
        <f ca="1">IFERROR(__xludf.DUMMYFUNCTION("""COMPUTED_VALUE"""),"Coreia do Sul")</f>
        <v>Coreia do Sul</v>
      </c>
      <c r="F123" s="14" t="str">
        <f ca="1">IFERROR(__xludf.DUMMYFUNCTION("""COMPUTED_VALUE"""),"Рэспубліка Карэя")</f>
        <v>Рэспубліка Карэя</v>
      </c>
      <c r="G123" s="14" t="str">
        <f ca="1">IFERROR(__xludf.DUMMYFUNCTION("""COMPUTED_VALUE"""),"Jižní Korea")</f>
        <v>Jižní Korea</v>
      </c>
      <c r="H123" s="14" t="str">
        <f ca="1">IFERROR(__xludf.DUMMYFUNCTION("""COMPUTED_VALUE"""),"Südkorea")</f>
        <v>Südkorea</v>
      </c>
      <c r="I123" s="14" t="str">
        <f ca="1">IFERROR(__xludf.DUMMYFUNCTION("""COMPUTED_VALUE"""),"Corea del Sur")</f>
        <v>Corea del Sur</v>
      </c>
      <c r="J123" s="14" t="str">
        <f ca="1">IFERROR(__xludf.DUMMYFUNCTION("""COMPUTED_VALUE"""),"Etelä-Korea")</f>
        <v>Etelä-Korea</v>
      </c>
      <c r="K123" s="14" t="str">
        <f ca="1">IFERROR(__xludf.DUMMYFUNCTION("""COMPUTED_VALUE"""),"Νότια Κορέα")</f>
        <v>Νότια Κορέα</v>
      </c>
      <c r="L123" s="14" t="str">
        <f ca="1">IFERROR(__xludf.DUMMYFUNCTION("""COMPUTED_VALUE"""),"ΝΟΤΙΑ ΚΟΡΕΑ")</f>
        <v>ΝΟΤΙΑ ΚΟΡΕΑ</v>
      </c>
      <c r="M123" s="14" t="str">
        <f ca="1">IFERROR(__xludf.DUMMYFUNCTION("""COMPUTED_VALUE"""),"Južna Koreja")</f>
        <v>Južna Koreja</v>
      </c>
      <c r="N123" s="14" t="str">
        <f ca="1">IFERROR(__xludf.DUMMYFUNCTION("""COMPUTED_VALUE"""),"Dél-Korea")</f>
        <v>Dél-Korea</v>
      </c>
      <c r="O123" s="14" t="str">
        <f ca="1">IFERROR(__xludf.DUMMYFUNCTION("""COMPUTED_VALUE"""),"Korea Selatan")</f>
        <v>Korea Selatan</v>
      </c>
      <c r="P123" s="14" t="str">
        <f ca="1">IFERROR(__xludf.DUMMYFUNCTION("""COMPUTED_VALUE"""),"Corea del Sud")</f>
        <v>Corea del Sud</v>
      </c>
      <c r="Q123" s="14" t="str">
        <f ca="1">IFERROR(__xludf.DUMMYFUNCTION("""COMPUTED_VALUE"""),"대한민국")</f>
        <v>대한민국</v>
      </c>
      <c r="R123" s="14" t="str">
        <f ca="1">IFERROR(__xludf.DUMMYFUNCTION("""COMPUTED_VALUE"""),"Korea Południowa")</f>
        <v>Korea Południowa</v>
      </c>
      <c r="S123" s="14" t="str">
        <f ca="1">IFERROR(__xludf.DUMMYFUNCTION("""COMPUTED_VALUE"""),"Coreia do Sul")</f>
        <v>Coreia do Sul</v>
      </c>
      <c r="T123" s="14" t="str">
        <f ca="1">IFERROR(__xludf.DUMMYFUNCTION("""COMPUTED_VALUE"""),"Coreea de Sud")</f>
        <v>Coreea de Sud</v>
      </c>
      <c r="U123" s="14" t="str">
        <f ca="1">IFERROR(__xludf.DUMMYFUNCTION("""COMPUTED_VALUE"""),"Južna Koreja")</f>
        <v>Južna Koreja</v>
      </c>
      <c r="V123" s="14" t="str">
        <f ca="1">IFERROR(__xludf.DUMMYFUNCTION("""COMPUTED_VALUE"""),"Южная Корея")</f>
        <v>Южная Корея</v>
      </c>
      <c r="W123" s="14" t="str">
        <f ca="1">IFERROR(__xludf.DUMMYFUNCTION("""COMPUTED_VALUE"""),"Sydkorea")</f>
        <v>Sydkorea</v>
      </c>
      <c r="X123" s="14" t="str">
        <f ca="1">IFERROR(__xludf.DUMMYFUNCTION("""COMPUTED_VALUE"""),"Južna Koreja")</f>
        <v>Južna Koreja</v>
      </c>
      <c r="Y123" s="14" t="str">
        <f ca="1">IFERROR(__xludf.DUMMYFUNCTION("""COMPUTED_VALUE"""),"Južná Kórea")</f>
        <v>Južná Kórea</v>
      </c>
      <c r="Z123" s="14" t="str">
        <f ca="1">IFERROR(__xludf.DUMMYFUNCTION("""COMPUTED_VALUE"""),"เกาหลีใต้")</f>
        <v>เกาหลีใต้</v>
      </c>
      <c r="AA123" s="14" t="str">
        <f ca="1">IFERROR(__xludf.DUMMYFUNCTION("""COMPUTED_VALUE"""),"Güney Kore")</f>
        <v>Güney Kore</v>
      </c>
      <c r="AB123" s="14" t="str">
        <f ca="1">IFERROR(__xludf.DUMMYFUNCTION("""COMPUTED_VALUE"""),"GÜNEY KORE")</f>
        <v>GÜNEY KORE</v>
      </c>
      <c r="AC123" s="14" t="str">
        <f ca="1">IFERROR(__xludf.DUMMYFUNCTION("""COMPUTED_VALUE"""),"Південна Корея")</f>
        <v>Південна Корея</v>
      </c>
      <c r="AD123" s="14" t="str">
        <f ca="1">IFERROR(__xludf.DUMMYFUNCTION("""COMPUTED_VALUE"""),"Hàn Quốc")</f>
        <v>Hàn Quốc</v>
      </c>
      <c r="AE123" s="14" t="str">
        <f ca="1">IFERROR(__xludf.DUMMYFUNCTION("""COMPUTED_VALUE"""),"Корея Республикасы")</f>
        <v>Корея Республикасы</v>
      </c>
      <c r="AF123" s="14"/>
    </row>
    <row r="124" spans="1:32" ht="13" x14ac:dyDescent="0.15">
      <c r="A124" s="14" t="str">
        <f ca="1">IFERROR(__xludf.DUMMYFUNCTION("""COMPUTED_VALUE"""),"KW")</f>
        <v>KW</v>
      </c>
      <c r="B124" s="14" t="str">
        <f ca="1">IFERROR(__xludf.DUMMYFUNCTION("""COMPUTED_VALUE"""),"Kuwait")</f>
        <v>Kuwait</v>
      </c>
      <c r="C124" s="14" t="str">
        <f ca="1">IFERROR(__xludf.DUMMYFUNCTION("""COMPUTED_VALUE"""),"الكويت")</f>
        <v>الكويت</v>
      </c>
      <c r="D124" s="14" t="str">
        <f ca="1">IFERROR(__xludf.DUMMYFUNCTION("""COMPUTED_VALUE"""),"Кувейт")</f>
        <v>Кувейт</v>
      </c>
      <c r="E124" s="14" t="str">
        <f ca="1">IFERROR(__xludf.DUMMYFUNCTION("""COMPUTED_VALUE"""),"Kuwait")</f>
        <v>Kuwait</v>
      </c>
      <c r="F124" s="14" t="str">
        <f ca="1">IFERROR(__xludf.DUMMYFUNCTION("""COMPUTED_VALUE"""),"Кувейт")</f>
        <v>Кувейт</v>
      </c>
      <c r="G124" s="14" t="str">
        <f ca="1">IFERROR(__xludf.DUMMYFUNCTION("""COMPUTED_VALUE"""),"Kuvajt")</f>
        <v>Kuvajt</v>
      </c>
      <c r="H124" s="14" t="str">
        <f ca="1">IFERROR(__xludf.DUMMYFUNCTION("""COMPUTED_VALUE"""),"Kuwait")</f>
        <v>Kuwait</v>
      </c>
      <c r="I124" s="14" t="str">
        <f ca="1">IFERROR(__xludf.DUMMYFUNCTION("""COMPUTED_VALUE"""),"Kuwait")</f>
        <v>Kuwait</v>
      </c>
      <c r="J124" s="14" t="str">
        <f ca="1">IFERROR(__xludf.DUMMYFUNCTION("""COMPUTED_VALUE"""),"Kuwait")</f>
        <v>Kuwait</v>
      </c>
      <c r="K124" s="14" t="str">
        <f ca="1">IFERROR(__xludf.DUMMYFUNCTION("""COMPUTED_VALUE"""),"Κουβέιτ")</f>
        <v>Κουβέιτ</v>
      </c>
      <c r="L124" s="14" t="str">
        <f ca="1">IFERROR(__xludf.DUMMYFUNCTION("""COMPUTED_VALUE"""),"ΚΟΥΒΕΙΤ")</f>
        <v>ΚΟΥΒΕΙΤ</v>
      </c>
      <c r="M124" s="14" t="str">
        <f ca="1">IFERROR(__xludf.DUMMYFUNCTION("""COMPUTED_VALUE"""),"Kuvajt")</f>
        <v>Kuvajt</v>
      </c>
      <c r="N124" s="14" t="str">
        <f ca="1">IFERROR(__xludf.DUMMYFUNCTION("""COMPUTED_VALUE"""),"Kuvait")</f>
        <v>Kuvait</v>
      </c>
      <c r="O124" s="14" t="str">
        <f ca="1">IFERROR(__xludf.DUMMYFUNCTION("""COMPUTED_VALUE"""),"Kuwait")</f>
        <v>Kuwait</v>
      </c>
      <c r="P124" s="14" t="str">
        <f ca="1">IFERROR(__xludf.DUMMYFUNCTION("""COMPUTED_VALUE"""),"Kuwait")</f>
        <v>Kuwait</v>
      </c>
      <c r="Q124" s="14" t="str">
        <f ca="1">IFERROR(__xludf.DUMMYFUNCTION("""COMPUTED_VALUE"""),"쿠웨이트")</f>
        <v>쿠웨이트</v>
      </c>
      <c r="R124" s="14" t="str">
        <f ca="1">IFERROR(__xludf.DUMMYFUNCTION("""COMPUTED_VALUE"""),"Kuwejt")</f>
        <v>Kuwejt</v>
      </c>
      <c r="S124" s="14" t="str">
        <f ca="1">IFERROR(__xludf.DUMMYFUNCTION("""COMPUTED_VALUE"""),"Kuwait")</f>
        <v>Kuwait</v>
      </c>
      <c r="T124" s="14" t="str">
        <f ca="1">IFERROR(__xludf.DUMMYFUNCTION("""COMPUTED_VALUE"""),"Kuweit")</f>
        <v>Kuweit</v>
      </c>
      <c r="U124" s="14" t="str">
        <f ca="1">IFERROR(__xludf.DUMMYFUNCTION("""COMPUTED_VALUE"""),"Kuvajt")</f>
        <v>Kuvajt</v>
      </c>
      <c r="V124" s="14" t="str">
        <f ca="1">IFERROR(__xludf.DUMMYFUNCTION("""COMPUTED_VALUE"""),"Кувейт")</f>
        <v>Кувейт</v>
      </c>
      <c r="W124" s="14" t="str">
        <f ca="1">IFERROR(__xludf.DUMMYFUNCTION("""COMPUTED_VALUE"""),"Kuwait")</f>
        <v>Kuwait</v>
      </c>
      <c r="X124" s="14" t="str">
        <f ca="1">IFERROR(__xludf.DUMMYFUNCTION("""COMPUTED_VALUE"""),"Kuvajt")</f>
        <v>Kuvajt</v>
      </c>
      <c r="Y124" s="14" t="str">
        <f ca="1">IFERROR(__xludf.DUMMYFUNCTION("""COMPUTED_VALUE"""),"Kuvajt")</f>
        <v>Kuvajt</v>
      </c>
      <c r="Z124" s="14" t="str">
        <f ca="1">IFERROR(__xludf.DUMMYFUNCTION("""COMPUTED_VALUE"""),"คูเวต")</f>
        <v>คูเวต</v>
      </c>
      <c r="AA124" s="14" t="str">
        <f ca="1">IFERROR(__xludf.DUMMYFUNCTION("""COMPUTED_VALUE"""),"Kuveyt")</f>
        <v>Kuveyt</v>
      </c>
      <c r="AB124" s="14" t="str">
        <f ca="1">IFERROR(__xludf.DUMMYFUNCTION("""COMPUTED_VALUE"""),"KUVEYT")</f>
        <v>KUVEYT</v>
      </c>
      <c r="AC124" s="14" t="str">
        <f ca="1">IFERROR(__xludf.DUMMYFUNCTION("""COMPUTED_VALUE"""),"Кувейт")</f>
        <v>Кувейт</v>
      </c>
      <c r="AD124" s="14" t="str">
        <f ca="1">IFERROR(__xludf.DUMMYFUNCTION("""COMPUTED_VALUE"""),"Kuwait")</f>
        <v>Kuwait</v>
      </c>
      <c r="AE124" s="14" t="str">
        <f ca="1">IFERROR(__xludf.DUMMYFUNCTION("""COMPUTED_VALUE"""),"Кувейт")</f>
        <v>Кувейт</v>
      </c>
      <c r="AF124" s="14"/>
    </row>
    <row r="125" spans="1:32" ht="13" x14ac:dyDescent="0.15">
      <c r="A125" s="14" t="str">
        <f ca="1">IFERROR(__xludf.DUMMYFUNCTION("""COMPUTED_VALUE"""),"KY")</f>
        <v>KY</v>
      </c>
      <c r="B125" s="14" t="str">
        <f ca="1">IFERROR(__xludf.DUMMYFUNCTION("""COMPUTED_VALUE"""),"Cayman Islands")</f>
        <v>Cayman Islands</v>
      </c>
      <c r="C125" s="14" t="str">
        <f ca="1">IFERROR(__xludf.DUMMYFUNCTION("""COMPUTED_VALUE"""),"جزر الكايمن")</f>
        <v>جزر الكايمن</v>
      </c>
      <c r="D125" s="14" t="str">
        <f ca="1">IFERROR(__xludf.DUMMYFUNCTION("""COMPUTED_VALUE"""),"Кайманови острови")</f>
        <v>Кайманови острови</v>
      </c>
      <c r="E125" s="14" t="str">
        <f ca="1">IFERROR(__xludf.DUMMYFUNCTION("""COMPUTED_VALUE"""),"Cayman, Ilhas")</f>
        <v>Cayman, Ilhas</v>
      </c>
      <c r="F125" s="14" t="str">
        <f ca="1">IFERROR(__xludf.DUMMYFUNCTION("""COMPUTED_VALUE"""),"Кайманавы астравы")</f>
        <v>Кайманавы астравы</v>
      </c>
      <c r="G125" s="14" t="str">
        <f ca="1">IFERROR(__xludf.DUMMYFUNCTION("""COMPUTED_VALUE"""),"Kajmanské ostrovy")</f>
        <v>Kajmanské ostrovy</v>
      </c>
      <c r="H125" s="14" t="str">
        <f ca="1">IFERROR(__xludf.DUMMYFUNCTION("""COMPUTED_VALUE"""),"Kaimaninseln")</f>
        <v>Kaimaninseln</v>
      </c>
      <c r="I125" s="14" t="str">
        <f ca="1">IFERROR(__xludf.DUMMYFUNCTION("""COMPUTED_VALUE"""),"Caimán, (las) Islas")</f>
        <v>Caimán, (las) Islas</v>
      </c>
      <c r="J125" s="14" t="str">
        <f ca="1">IFERROR(__xludf.DUMMYFUNCTION("""COMPUTED_VALUE"""),"Caymansaaret")</f>
        <v>Caymansaaret</v>
      </c>
      <c r="K125" s="14" t="str">
        <f ca="1">IFERROR(__xludf.DUMMYFUNCTION("""COMPUTED_VALUE"""),"Κέιμαν Νήσοι")</f>
        <v>Κέιμαν Νήσοι</v>
      </c>
      <c r="L125" s="14" t="str">
        <f ca="1">IFERROR(__xludf.DUMMYFUNCTION("""COMPUTED_VALUE"""),"ΚΕΙΜΑΝ ΝΗΣΟΙ")</f>
        <v>ΚΕΙΜΑΝ ΝΗΣΟΙ</v>
      </c>
      <c r="M125" s="14" t="str">
        <f ca="1">IFERROR(__xludf.DUMMYFUNCTION("""COMPUTED_VALUE"""),"Kajmanski otoci")</f>
        <v>Kajmanski otoci</v>
      </c>
      <c r="N125" s="14" t="str">
        <f ca="1">IFERROR(__xludf.DUMMYFUNCTION("""COMPUTED_VALUE"""),"Kajmán-szigetek")</f>
        <v>Kajmán-szigetek</v>
      </c>
      <c r="O125" s="14" t="str">
        <f ca="1">IFERROR(__xludf.DUMMYFUNCTION("""COMPUTED_VALUE"""),"Cayman, Kepulauan")</f>
        <v>Cayman, Kepulauan</v>
      </c>
      <c r="P125" s="14" t="str">
        <f ca="1">IFERROR(__xludf.DUMMYFUNCTION("""COMPUTED_VALUE"""),"Isole Cayman")</f>
        <v>Isole Cayman</v>
      </c>
      <c r="Q125" s="14" t="str">
        <f ca="1">IFERROR(__xludf.DUMMYFUNCTION("""COMPUTED_VALUE"""),"케이맨 제도")</f>
        <v>케이맨 제도</v>
      </c>
      <c r="R125" s="14" t="str">
        <f ca="1">IFERROR(__xludf.DUMMYFUNCTION("""COMPUTED_VALUE"""),"Kajmany")</f>
        <v>Kajmany</v>
      </c>
      <c r="S125" s="14" t="str">
        <f ca="1">IFERROR(__xludf.DUMMYFUNCTION("""COMPUTED_VALUE"""),"Cayman, Ilhas")</f>
        <v>Cayman, Ilhas</v>
      </c>
      <c r="T125" s="14" t="str">
        <f ca="1">IFERROR(__xludf.DUMMYFUNCTION("""COMPUTED_VALUE"""),"Insulele Cayman")</f>
        <v>Insulele Cayman</v>
      </c>
      <c r="U125" s="14" t="str">
        <f ca="1">IFERROR(__xludf.DUMMYFUNCTION("""COMPUTED_VALUE"""),"Kajmanska Ostrva")</f>
        <v>Kajmanska Ostrva</v>
      </c>
      <c r="V125" s="14" t="str">
        <f ca="1">IFERROR(__xludf.DUMMYFUNCTION("""COMPUTED_VALUE"""),"Острова Кайман")</f>
        <v>Острова Кайман</v>
      </c>
      <c r="W125" s="14" t="str">
        <f ca="1">IFERROR(__xludf.DUMMYFUNCTION("""COMPUTED_VALUE"""),"Caymanöarna")</f>
        <v>Caymanöarna</v>
      </c>
      <c r="X125" s="14" t="str">
        <f ca="1">IFERROR(__xludf.DUMMYFUNCTION("""COMPUTED_VALUE"""),"Kajmanski otoki")</f>
        <v>Kajmanski otoki</v>
      </c>
      <c r="Y125" s="14" t="str">
        <f ca="1">IFERROR(__xludf.DUMMYFUNCTION("""COMPUTED_VALUE"""),"Kajmanie ostrovy")</f>
        <v>Kajmanie ostrovy</v>
      </c>
      <c r="Z125" s="14" t="str">
        <f ca="1">IFERROR(__xludf.DUMMYFUNCTION("""COMPUTED_VALUE"""),"หมู่เกาะเคย์แมน")</f>
        <v>หมู่เกาะเคย์แมน</v>
      </c>
      <c r="AA125" s="14" t="str">
        <f ca="1">IFERROR(__xludf.DUMMYFUNCTION("""COMPUTED_VALUE"""),"Cayman Adaları")</f>
        <v>Cayman Adaları</v>
      </c>
      <c r="AB125" s="14" t="str">
        <f ca="1">IFERROR(__xludf.DUMMYFUNCTION("""COMPUTED_VALUE"""),"CAYMAN ADALARI")</f>
        <v>CAYMAN ADALARI</v>
      </c>
      <c r="AC125" s="14" t="str">
        <f ca="1">IFERROR(__xludf.DUMMYFUNCTION("""COMPUTED_VALUE"""),"Кайманові Острови")</f>
        <v>Кайманові Острови</v>
      </c>
      <c r="AD125" s="14" t="str">
        <f ca="1">IFERROR(__xludf.DUMMYFUNCTION("""COMPUTED_VALUE"""),"Quần đảo Cayman")</f>
        <v>Quần đảo Cayman</v>
      </c>
      <c r="AE125" s="14" t="str">
        <f ca="1">IFERROR(__xludf.DUMMYFUNCTION("""COMPUTED_VALUE"""),"Кайман аралдары")</f>
        <v>Кайман аралдары</v>
      </c>
      <c r="AF125" s="14"/>
    </row>
    <row r="126" spans="1:32" ht="13" x14ac:dyDescent="0.15">
      <c r="A126" s="14" t="str">
        <f ca="1">IFERROR(__xludf.DUMMYFUNCTION("""COMPUTED_VALUE"""),"KZ")</f>
        <v>KZ</v>
      </c>
      <c r="B126" s="14" t="str">
        <f ca="1">IFERROR(__xludf.DUMMYFUNCTION("""COMPUTED_VALUE"""),"Kazakhstan")</f>
        <v>Kazakhstan</v>
      </c>
      <c r="C126" s="14" t="str">
        <f ca="1">IFERROR(__xludf.DUMMYFUNCTION("""COMPUTED_VALUE"""),"كازاخستان")</f>
        <v>كازاخستان</v>
      </c>
      <c r="D126" s="14" t="str">
        <f ca="1">IFERROR(__xludf.DUMMYFUNCTION("""COMPUTED_VALUE"""),"Казахстан")</f>
        <v>Казахстан</v>
      </c>
      <c r="E126" s="14" t="str">
        <f ca="1">IFERROR(__xludf.DUMMYFUNCTION("""COMPUTED_VALUE"""),"Cazaquistão")</f>
        <v>Cazaquistão</v>
      </c>
      <c r="F126" s="14" t="str">
        <f ca="1">IFERROR(__xludf.DUMMYFUNCTION("""COMPUTED_VALUE"""),"Казахстан")</f>
        <v>Казахстан</v>
      </c>
      <c r="G126" s="14" t="str">
        <f ca="1">IFERROR(__xludf.DUMMYFUNCTION("""COMPUTED_VALUE"""),"Kazachstán")</f>
        <v>Kazachstán</v>
      </c>
      <c r="H126" s="14" t="str">
        <f ca="1">IFERROR(__xludf.DUMMYFUNCTION("""COMPUTED_VALUE"""),"Kasachstan")</f>
        <v>Kasachstan</v>
      </c>
      <c r="I126" s="14" t="str">
        <f ca="1">IFERROR(__xludf.DUMMYFUNCTION("""COMPUTED_VALUE"""),"Kazajstán")</f>
        <v>Kazajstán</v>
      </c>
      <c r="J126" s="14" t="str">
        <f ca="1">IFERROR(__xludf.DUMMYFUNCTION("""COMPUTED_VALUE"""),"Kazakstan")</f>
        <v>Kazakstan</v>
      </c>
      <c r="K126" s="14" t="str">
        <f ca="1">IFERROR(__xludf.DUMMYFUNCTION("""COMPUTED_VALUE"""),"Καζακστάν")</f>
        <v>Καζακστάν</v>
      </c>
      <c r="L126" s="14" t="str">
        <f ca="1">IFERROR(__xludf.DUMMYFUNCTION("""COMPUTED_VALUE"""),"ΚΑΖΑΚΣΤΑΝ")</f>
        <v>ΚΑΖΑΚΣΤΑΝ</v>
      </c>
      <c r="M126" s="14" t="str">
        <f ca="1">IFERROR(__xludf.DUMMYFUNCTION("""COMPUTED_VALUE"""),"Kazahstan")</f>
        <v>Kazahstan</v>
      </c>
      <c r="N126" s="14" t="str">
        <f ca="1">IFERROR(__xludf.DUMMYFUNCTION("""COMPUTED_VALUE"""),"Kazahsztán")</f>
        <v>Kazahsztán</v>
      </c>
      <c r="O126" s="14" t="str">
        <f ca="1">IFERROR(__xludf.DUMMYFUNCTION("""COMPUTED_VALUE"""),"Kazakhstan")</f>
        <v>Kazakhstan</v>
      </c>
      <c r="P126" s="14" t="str">
        <f ca="1">IFERROR(__xludf.DUMMYFUNCTION("""COMPUTED_VALUE"""),"Kazakistan")</f>
        <v>Kazakistan</v>
      </c>
      <c r="Q126" s="14" t="str">
        <f ca="1">IFERROR(__xludf.DUMMYFUNCTION("""COMPUTED_VALUE"""),"카자흐스탄")</f>
        <v>카자흐스탄</v>
      </c>
      <c r="R126" s="14" t="str">
        <f ca="1">IFERROR(__xludf.DUMMYFUNCTION("""COMPUTED_VALUE"""),"Kazachstan")</f>
        <v>Kazachstan</v>
      </c>
      <c r="S126" s="14" t="str">
        <f ca="1">IFERROR(__xludf.DUMMYFUNCTION("""COMPUTED_VALUE"""),"Cazaquistão")</f>
        <v>Cazaquistão</v>
      </c>
      <c r="T126" s="14" t="str">
        <f ca="1">IFERROR(__xludf.DUMMYFUNCTION("""COMPUTED_VALUE"""),"Kazahstan")</f>
        <v>Kazahstan</v>
      </c>
      <c r="U126" s="14" t="str">
        <f ca="1">IFERROR(__xludf.DUMMYFUNCTION("""COMPUTED_VALUE"""),"Kazahstan")</f>
        <v>Kazahstan</v>
      </c>
      <c r="V126" s="14" t="str">
        <f ca="1">IFERROR(__xludf.DUMMYFUNCTION("""COMPUTED_VALUE"""),"Казахстан")</f>
        <v>Казахстан</v>
      </c>
      <c r="W126" s="14" t="str">
        <f ca="1">IFERROR(__xludf.DUMMYFUNCTION("""COMPUTED_VALUE"""),"Kazakstan")</f>
        <v>Kazakstan</v>
      </c>
      <c r="X126" s="14" t="str">
        <f ca="1">IFERROR(__xludf.DUMMYFUNCTION("""COMPUTED_VALUE"""),"Kazahstan")</f>
        <v>Kazahstan</v>
      </c>
      <c r="Y126" s="14" t="str">
        <f ca="1">IFERROR(__xludf.DUMMYFUNCTION("""COMPUTED_VALUE"""),"Kazachstan")</f>
        <v>Kazachstan</v>
      </c>
      <c r="Z126" s="14" t="str">
        <f ca="1">IFERROR(__xludf.DUMMYFUNCTION("""COMPUTED_VALUE"""),"คาซัคสถาน")</f>
        <v>คาซัคสถาน</v>
      </c>
      <c r="AA126" s="14" t="str">
        <f ca="1">IFERROR(__xludf.DUMMYFUNCTION("""COMPUTED_VALUE"""),"Kazakistan")</f>
        <v>Kazakistan</v>
      </c>
      <c r="AB126" s="14" t="str">
        <f ca="1">IFERROR(__xludf.DUMMYFUNCTION("""COMPUTED_VALUE"""),"KAZAKİSTAN")</f>
        <v>KAZAKİSTAN</v>
      </c>
      <c r="AC126" s="14" t="str">
        <f ca="1">IFERROR(__xludf.DUMMYFUNCTION("""COMPUTED_VALUE"""),"Казахстан")</f>
        <v>Казахстан</v>
      </c>
      <c r="AD126" s="14" t="str">
        <f ca="1">IFERROR(__xludf.DUMMYFUNCTION("""COMPUTED_VALUE"""),"Kazakhstan")</f>
        <v>Kazakhstan</v>
      </c>
      <c r="AE126" s="14" t="str">
        <f ca="1">IFERROR(__xludf.DUMMYFUNCTION("""COMPUTED_VALUE"""),"Қазақстан")</f>
        <v>Қазақстан</v>
      </c>
      <c r="AF126" s="14"/>
    </row>
    <row r="127" spans="1:32" ht="13" x14ac:dyDescent="0.15">
      <c r="A127" s="14" t="str">
        <f ca="1">IFERROR(__xludf.DUMMYFUNCTION("""COMPUTED_VALUE"""),"LA")</f>
        <v>LA</v>
      </c>
      <c r="B127" s="14" t="str">
        <f ca="1">IFERROR(__xludf.DUMMYFUNCTION("""COMPUTED_VALUE"""),"Lao People’s Democratic Republic")</f>
        <v>Lao People’s Democratic Republic</v>
      </c>
      <c r="C127" s="14" t="str">
        <f ca="1">IFERROR(__xludf.DUMMYFUNCTION("""COMPUTED_VALUE"""),"لاوس")</f>
        <v>لاوس</v>
      </c>
      <c r="D127" s="14" t="str">
        <f ca="1">IFERROR(__xludf.DUMMYFUNCTION("""COMPUTED_VALUE"""),"Лаос")</f>
        <v>Лаос</v>
      </c>
      <c r="E127" s="14" t="str">
        <f ca="1">IFERROR(__xludf.DUMMYFUNCTION("""COMPUTED_VALUE"""),"Laos")</f>
        <v>Laos</v>
      </c>
      <c r="F127" s="14" t="str">
        <f ca="1">IFERROR(__xludf.DUMMYFUNCTION("""COMPUTED_VALUE"""),"Лаос")</f>
        <v>Лаос</v>
      </c>
      <c r="G127" s="14" t="str">
        <f ca="1">IFERROR(__xludf.DUMMYFUNCTION("""COMPUTED_VALUE"""),"Laos")</f>
        <v>Laos</v>
      </c>
      <c r="H127" s="14" t="str">
        <f ca="1">IFERROR(__xludf.DUMMYFUNCTION("""COMPUTED_VALUE"""),"Laos, Demokratische Volksrepublik")</f>
        <v>Laos, Demokratische Volksrepublik</v>
      </c>
      <c r="I127" s="14" t="str">
        <f ca="1">IFERROR(__xludf.DUMMYFUNCTION("""COMPUTED_VALUE"""),"Laos")</f>
        <v>Laos</v>
      </c>
      <c r="J127" s="14" t="str">
        <f ca="1">IFERROR(__xludf.DUMMYFUNCTION("""COMPUTED_VALUE"""),"Laos")</f>
        <v>Laos</v>
      </c>
      <c r="K127" s="14" t="str">
        <f ca="1">IFERROR(__xludf.DUMMYFUNCTION("""COMPUTED_VALUE"""),"Λάος")</f>
        <v>Λάος</v>
      </c>
      <c r="L127" s="14" t="str">
        <f ca="1">IFERROR(__xludf.DUMMYFUNCTION("""COMPUTED_VALUE"""),"ΛΑΟΣ")</f>
        <v>ΛΑΟΣ</v>
      </c>
      <c r="M127" s="14" t="str">
        <f ca="1">IFERROR(__xludf.DUMMYFUNCTION("""COMPUTED_VALUE"""),"Laos")</f>
        <v>Laos</v>
      </c>
      <c r="N127" s="14" t="str">
        <f ca="1">IFERROR(__xludf.DUMMYFUNCTION("""COMPUTED_VALUE"""),"Laosz")</f>
        <v>Laosz</v>
      </c>
      <c r="O127" s="14" t="str">
        <f ca="1">IFERROR(__xludf.DUMMYFUNCTION("""COMPUTED_VALUE"""),"Laos")</f>
        <v>Laos</v>
      </c>
      <c r="P127" s="14" t="str">
        <f ca="1">IFERROR(__xludf.DUMMYFUNCTION("""COMPUTED_VALUE"""),"Laos")</f>
        <v>Laos</v>
      </c>
      <c r="Q127" s="14" t="str">
        <f ca="1">IFERROR(__xludf.DUMMYFUNCTION("""COMPUTED_VALUE"""),"라오스")</f>
        <v>라오스</v>
      </c>
      <c r="R127" s="14" t="str">
        <f ca="1">IFERROR(__xludf.DUMMYFUNCTION("""COMPUTED_VALUE"""),"Laos")</f>
        <v>Laos</v>
      </c>
      <c r="S127" s="14" t="str">
        <f ca="1">IFERROR(__xludf.DUMMYFUNCTION("""COMPUTED_VALUE"""),"Laos")</f>
        <v>Laos</v>
      </c>
      <c r="T127" s="14" t="str">
        <f ca="1">IFERROR(__xludf.DUMMYFUNCTION("""COMPUTED_VALUE"""),"Laos")</f>
        <v>Laos</v>
      </c>
      <c r="U127" s="14" t="str">
        <f ca="1">IFERROR(__xludf.DUMMYFUNCTION("""COMPUTED_VALUE"""),"Laos")</f>
        <v>Laos</v>
      </c>
      <c r="V127" s="14" t="str">
        <f ca="1">IFERROR(__xludf.DUMMYFUNCTION("""COMPUTED_VALUE"""),"Лаос")</f>
        <v>Лаос</v>
      </c>
      <c r="W127" s="14" t="str">
        <f ca="1">IFERROR(__xludf.DUMMYFUNCTION("""COMPUTED_VALUE"""),"Laos")</f>
        <v>Laos</v>
      </c>
      <c r="X127" s="14" t="str">
        <f ca="1">IFERROR(__xludf.DUMMYFUNCTION("""COMPUTED_VALUE"""),"Laos")</f>
        <v>Laos</v>
      </c>
      <c r="Y127" s="14" t="str">
        <f ca="1">IFERROR(__xludf.DUMMYFUNCTION("""COMPUTED_VALUE"""),"Laos")</f>
        <v>Laos</v>
      </c>
      <c r="Z127" s="14" t="str">
        <f ca="1">IFERROR(__xludf.DUMMYFUNCTION("""COMPUTED_VALUE"""),"ลาว")</f>
        <v>ลาว</v>
      </c>
      <c r="AA127" s="14" t="str">
        <f ca="1">IFERROR(__xludf.DUMMYFUNCTION("""COMPUTED_VALUE"""),"Lao Halkı’nın Demokratik Cumhuriyeti")</f>
        <v>Lao Halkı’nın Demokratik Cumhuriyeti</v>
      </c>
      <c r="AB127" s="14" t="str">
        <f ca="1">IFERROR(__xludf.DUMMYFUNCTION("""COMPUTED_VALUE"""),"LAO HALKI’NIN DEMOKRATİK CUMHURİYETİ")</f>
        <v>LAO HALKI’NIN DEMOKRATİK CUMHURİYETİ</v>
      </c>
      <c r="AC127" s="14" t="str">
        <f ca="1">IFERROR(__xludf.DUMMYFUNCTION("""COMPUTED_VALUE"""),"Лаос")</f>
        <v>Лаос</v>
      </c>
      <c r="AD127" s="14" t="str">
        <f ca="1">IFERROR(__xludf.DUMMYFUNCTION("""COMPUTED_VALUE"""),"Lào")</f>
        <v>Lào</v>
      </c>
      <c r="AE127" s="14" t="str">
        <f ca="1">IFERROR(__xludf.DUMMYFUNCTION("""COMPUTED_VALUE"""),"Лаос")</f>
        <v>Лаос</v>
      </c>
      <c r="AF127" s="14"/>
    </row>
    <row r="128" spans="1:32" ht="13" x14ac:dyDescent="0.15">
      <c r="A128" s="14" t="str">
        <f ca="1">IFERROR(__xludf.DUMMYFUNCTION("""COMPUTED_VALUE"""),"LB")</f>
        <v>LB</v>
      </c>
      <c r="B128" s="14" t="str">
        <f ca="1">IFERROR(__xludf.DUMMYFUNCTION("""COMPUTED_VALUE"""),"Lebanon")</f>
        <v>Lebanon</v>
      </c>
      <c r="C128" s="14" t="str">
        <f ca="1">IFERROR(__xludf.DUMMYFUNCTION("""COMPUTED_VALUE"""),"لبنان")</f>
        <v>لبنان</v>
      </c>
      <c r="D128" s="14" t="str">
        <f ca="1">IFERROR(__xludf.DUMMYFUNCTION("""COMPUTED_VALUE"""),"Ливан")</f>
        <v>Ливан</v>
      </c>
      <c r="E128" s="14" t="str">
        <f ca="1">IFERROR(__xludf.DUMMYFUNCTION("""COMPUTED_VALUE"""),"Líbano")</f>
        <v>Líbano</v>
      </c>
      <c r="F128" s="14" t="str">
        <f ca="1">IFERROR(__xludf.DUMMYFUNCTION("""COMPUTED_VALUE"""),"Ліван")</f>
        <v>Ліван</v>
      </c>
      <c r="G128" s="14" t="str">
        <f ca="1">IFERROR(__xludf.DUMMYFUNCTION("""COMPUTED_VALUE"""),"Libanon")</f>
        <v>Libanon</v>
      </c>
      <c r="H128" s="14" t="str">
        <f ca="1">IFERROR(__xludf.DUMMYFUNCTION("""COMPUTED_VALUE"""),"Libanon")</f>
        <v>Libanon</v>
      </c>
      <c r="I128" s="14" t="str">
        <f ca="1">IFERROR(__xludf.DUMMYFUNCTION("""COMPUTED_VALUE"""),"Líbano")</f>
        <v>Líbano</v>
      </c>
      <c r="J128" s="14" t="str">
        <f ca="1">IFERROR(__xludf.DUMMYFUNCTION("""COMPUTED_VALUE"""),"Libanon")</f>
        <v>Libanon</v>
      </c>
      <c r="K128" s="14" t="str">
        <f ca="1">IFERROR(__xludf.DUMMYFUNCTION("""COMPUTED_VALUE"""),"Λίβανος")</f>
        <v>Λίβανος</v>
      </c>
      <c r="L128" s="14" t="str">
        <f ca="1">IFERROR(__xludf.DUMMYFUNCTION("""COMPUTED_VALUE"""),"ΛΙΒΑΝΟΣ")</f>
        <v>ΛΙΒΑΝΟΣ</v>
      </c>
      <c r="M128" s="14" t="str">
        <f ca="1">IFERROR(__xludf.DUMMYFUNCTION("""COMPUTED_VALUE"""),"Libanon")</f>
        <v>Libanon</v>
      </c>
      <c r="N128" s="14" t="str">
        <f ca="1">IFERROR(__xludf.DUMMYFUNCTION("""COMPUTED_VALUE"""),"Libanon")</f>
        <v>Libanon</v>
      </c>
      <c r="O128" s="14" t="str">
        <f ca="1">IFERROR(__xludf.DUMMYFUNCTION("""COMPUTED_VALUE"""),"Lebanon")</f>
        <v>Lebanon</v>
      </c>
      <c r="P128" s="14" t="str">
        <f ca="1">IFERROR(__xludf.DUMMYFUNCTION("""COMPUTED_VALUE"""),"Libano")</f>
        <v>Libano</v>
      </c>
      <c r="Q128" s="14" t="str">
        <f ca="1">IFERROR(__xludf.DUMMYFUNCTION("""COMPUTED_VALUE"""),"레바논")</f>
        <v>레바논</v>
      </c>
      <c r="R128" s="14" t="str">
        <f ca="1">IFERROR(__xludf.DUMMYFUNCTION("""COMPUTED_VALUE"""),"Liban")</f>
        <v>Liban</v>
      </c>
      <c r="S128" s="14" t="str">
        <f ca="1">IFERROR(__xludf.DUMMYFUNCTION("""COMPUTED_VALUE"""),"Líbano")</f>
        <v>Líbano</v>
      </c>
      <c r="T128" s="14" t="str">
        <f ca="1">IFERROR(__xludf.DUMMYFUNCTION("""COMPUTED_VALUE"""),"Liban")</f>
        <v>Liban</v>
      </c>
      <c r="U128" s="14" t="str">
        <f ca="1">IFERROR(__xludf.DUMMYFUNCTION("""COMPUTED_VALUE"""),"Liban")</f>
        <v>Liban</v>
      </c>
      <c r="V128" s="14" t="str">
        <f ca="1">IFERROR(__xludf.DUMMYFUNCTION("""COMPUTED_VALUE"""),"Ливан")</f>
        <v>Ливан</v>
      </c>
      <c r="W128" s="14" t="str">
        <f ca="1">IFERROR(__xludf.DUMMYFUNCTION("""COMPUTED_VALUE"""),"Libanon")</f>
        <v>Libanon</v>
      </c>
      <c r="X128" s="14" t="str">
        <f ca="1">IFERROR(__xludf.DUMMYFUNCTION("""COMPUTED_VALUE"""),"Libanon")</f>
        <v>Libanon</v>
      </c>
      <c r="Y128" s="14" t="str">
        <f ca="1">IFERROR(__xludf.DUMMYFUNCTION("""COMPUTED_VALUE"""),"Libanon")</f>
        <v>Libanon</v>
      </c>
      <c r="Z128" s="14" t="str">
        <f ca="1">IFERROR(__xludf.DUMMYFUNCTION("""COMPUTED_VALUE"""),"เลบานอน")</f>
        <v>เลบานอน</v>
      </c>
      <c r="AA128" s="14" t="str">
        <f ca="1">IFERROR(__xludf.DUMMYFUNCTION("""COMPUTED_VALUE"""),"Lübnan")</f>
        <v>Lübnan</v>
      </c>
      <c r="AB128" s="14" t="str">
        <f ca="1">IFERROR(__xludf.DUMMYFUNCTION("""COMPUTED_VALUE"""),"LÜBNAN")</f>
        <v>LÜBNAN</v>
      </c>
      <c r="AC128" s="14" t="str">
        <f ca="1">IFERROR(__xludf.DUMMYFUNCTION("""COMPUTED_VALUE"""),"Ліван")</f>
        <v>Ліван</v>
      </c>
      <c r="AD128" s="14" t="str">
        <f ca="1">IFERROR(__xludf.DUMMYFUNCTION("""COMPUTED_VALUE"""),"Liban")</f>
        <v>Liban</v>
      </c>
      <c r="AE128" s="14" t="str">
        <f ca="1">IFERROR(__xludf.DUMMYFUNCTION("""COMPUTED_VALUE"""),"Ливан")</f>
        <v>Ливан</v>
      </c>
      <c r="AF128" s="14"/>
    </row>
    <row r="129" spans="1:32" ht="13" x14ac:dyDescent="0.15">
      <c r="A129" s="14" t="str">
        <f ca="1">IFERROR(__xludf.DUMMYFUNCTION("""COMPUTED_VALUE"""),"LC")</f>
        <v>LC</v>
      </c>
      <c r="B129" s="14" t="str">
        <f ca="1">IFERROR(__xludf.DUMMYFUNCTION("""COMPUTED_VALUE"""),"Saint Lucia")</f>
        <v>Saint Lucia</v>
      </c>
      <c r="C129" s="14" t="str">
        <f ca="1">IFERROR(__xludf.DUMMYFUNCTION("""COMPUTED_VALUE"""),"سانت لوسيا")</f>
        <v>سانت لوسيا</v>
      </c>
      <c r="D129" s="14" t="str">
        <f ca="1">IFERROR(__xludf.DUMMYFUNCTION("""COMPUTED_VALUE"""),"Сейнт Лусия")</f>
        <v>Сейнт Лусия</v>
      </c>
      <c r="E129" s="14" t="str">
        <f ca="1">IFERROR(__xludf.DUMMYFUNCTION("""COMPUTED_VALUE"""),"Santa Lúcia")</f>
        <v>Santa Lúcia</v>
      </c>
      <c r="F129" s="14" t="str">
        <f ca="1">IFERROR(__xludf.DUMMYFUNCTION("""COMPUTED_VALUE"""),"Сент-Люсія")</f>
        <v>Сент-Люсія</v>
      </c>
      <c r="G129" s="14" t="str">
        <f ca="1">IFERROR(__xludf.DUMMYFUNCTION("""COMPUTED_VALUE"""),"Svatá Lucie")</f>
        <v>Svatá Lucie</v>
      </c>
      <c r="H129" s="14" t="str">
        <f ca="1">IFERROR(__xludf.DUMMYFUNCTION("""COMPUTED_VALUE"""),"St. Lucia")</f>
        <v>St. Lucia</v>
      </c>
      <c r="I129" s="14" t="str">
        <f ca="1">IFERROR(__xludf.DUMMYFUNCTION("""COMPUTED_VALUE"""),"Santa Lucía")</f>
        <v>Santa Lucía</v>
      </c>
      <c r="J129" s="14" t="str">
        <f ca="1">IFERROR(__xludf.DUMMYFUNCTION("""COMPUTED_VALUE"""),"Saint Lucia")</f>
        <v>Saint Lucia</v>
      </c>
      <c r="K129" s="14" t="str">
        <f ca="1">IFERROR(__xludf.DUMMYFUNCTION("""COMPUTED_VALUE"""),"Αγία Λουκία")</f>
        <v>Αγία Λουκία</v>
      </c>
      <c r="L129" s="14" t="str">
        <f ca="1">IFERROR(__xludf.DUMMYFUNCTION("""COMPUTED_VALUE"""),"ΑΓΙΑ ΛΟΥΚΙΑ")</f>
        <v>ΑΓΙΑ ΛΟΥΚΙΑ</v>
      </c>
      <c r="M129" s="14" t="str">
        <f ca="1">IFERROR(__xludf.DUMMYFUNCTION("""COMPUTED_VALUE"""),"Sveta Lucija")</f>
        <v>Sveta Lucija</v>
      </c>
      <c r="N129" s="14" t="str">
        <f ca="1">IFERROR(__xludf.DUMMYFUNCTION("""COMPUTED_VALUE"""),"Saint Lucia")</f>
        <v>Saint Lucia</v>
      </c>
      <c r="O129" s="14" t="str">
        <f ca="1">IFERROR(__xludf.DUMMYFUNCTION("""COMPUTED_VALUE"""),"Saint Lucia")</f>
        <v>Saint Lucia</v>
      </c>
      <c r="P129" s="14" t="str">
        <f ca="1">IFERROR(__xludf.DUMMYFUNCTION("""COMPUTED_VALUE"""),"Saint Lucia")</f>
        <v>Saint Lucia</v>
      </c>
      <c r="Q129" s="14" t="str">
        <f ca="1">IFERROR(__xludf.DUMMYFUNCTION("""COMPUTED_VALUE"""),"세인트루시아")</f>
        <v>세인트루시아</v>
      </c>
      <c r="R129" s="14" t="str">
        <f ca="1">IFERROR(__xludf.DUMMYFUNCTION("""COMPUTED_VALUE"""),"Saint Lucia")</f>
        <v>Saint Lucia</v>
      </c>
      <c r="S129" s="14" t="str">
        <f ca="1">IFERROR(__xludf.DUMMYFUNCTION("""COMPUTED_VALUE"""),"Santa Lúcia")</f>
        <v>Santa Lúcia</v>
      </c>
      <c r="T129" s="14" t="str">
        <f ca="1">IFERROR(__xludf.DUMMYFUNCTION("""COMPUTED_VALUE"""),"Sfânta Lucia")</f>
        <v>Sfânta Lucia</v>
      </c>
      <c r="U129" s="14" t="str">
        <f ca="1">IFERROR(__xludf.DUMMYFUNCTION("""COMPUTED_VALUE"""),"Sveta Lucija")</f>
        <v>Sveta Lucija</v>
      </c>
      <c r="V129" s="14" t="str">
        <f ca="1">IFERROR(__xludf.DUMMYFUNCTION("""COMPUTED_VALUE"""),"Сент-Люсия")</f>
        <v>Сент-Люсия</v>
      </c>
      <c r="W129" s="14" t="str">
        <f ca="1">IFERROR(__xludf.DUMMYFUNCTION("""COMPUTED_VALUE"""),"Saint Lucia")</f>
        <v>Saint Lucia</v>
      </c>
      <c r="X129" s="14" t="str">
        <f ca="1">IFERROR(__xludf.DUMMYFUNCTION("""COMPUTED_VALUE"""),"Saint Lucia")</f>
        <v>Saint Lucia</v>
      </c>
      <c r="Y129" s="14" t="str">
        <f ca="1">IFERROR(__xludf.DUMMYFUNCTION("""COMPUTED_VALUE"""),"Svätá Lucia")</f>
        <v>Svätá Lucia</v>
      </c>
      <c r="Z129" s="14" t="str">
        <f ca="1">IFERROR(__xludf.DUMMYFUNCTION("""COMPUTED_VALUE"""),"เซนต์ลูเชีย")</f>
        <v>เซนต์ลูเชีย</v>
      </c>
      <c r="AA129" s="14" t="str">
        <f ca="1">IFERROR(__xludf.DUMMYFUNCTION("""COMPUTED_VALUE"""),"Saint Lucia")</f>
        <v>Saint Lucia</v>
      </c>
      <c r="AB129" s="14" t="str">
        <f ca="1">IFERROR(__xludf.DUMMYFUNCTION("""COMPUTED_VALUE"""),"SAİNT LUCİA")</f>
        <v>SAİNT LUCİA</v>
      </c>
      <c r="AC129" s="14" t="str">
        <f ca="1">IFERROR(__xludf.DUMMYFUNCTION("""COMPUTED_VALUE"""),"Сент-Люсія")</f>
        <v>Сент-Люсія</v>
      </c>
      <c r="AD129" s="14" t="str">
        <f ca="1">IFERROR(__xludf.DUMMYFUNCTION("""COMPUTED_VALUE"""),"Saint Lucia")</f>
        <v>Saint Lucia</v>
      </c>
      <c r="AE129" s="14" t="str">
        <f ca="1">IFERROR(__xludf.DUMMYFUNCTION("""COMPUTED_VALUE"""),"Сент-Люсия")</f>
        <v>Сент-Люсия</v>
      </c>
      <c r="AF129" s="14"/>
    </row>
    <row r="130" spans="1:32" ht="13" x14ac:dyDescent="0.15">
      <c r="A130" s="14" t="str">
        <f ca="1">IFERROR(__xludf.DUMMYFUNCTION("""COMPUTED_VALUE"""),"LI")</f>
        <v>LI</v>
      </c>
      <c r="B130" s="14" t="str">
        <f ca="1">IFERROR(__xludf.DUMMYFUNCTION("""COMPUTED_VALUE"""),"Liechtenstein")</f>
        <v>Liechtenstein</v>
      </c>
      <c r="C130" s="14" t="str">
        <f ca="1">IFERROR(__xludf.DUMMYFUNCTION("""COMPUTED_VALUE"""),"ليختنشتاين")</f>
        <v>ليختنشتاين</v>
      </c>
      <c r="D130" s="14" t="str">
        <f ca="1">IFERROR(__xludf.DUMMYFUNCTION("""COMPUTED_VALUE"""),"Лихтенщайн")</f>
        <v>Лихтенщайн</v>
      </c>
      <c r="E130" s="14" t="str">
        <f ca="1">IFERROR(__xludf.DUMMYFUNCTION("""COMPUTED_VALUE"""),"Liechtenstein")</f>
        <v>Liechtenstein</v>
      </c>
      <c r="F130" s="14" t="str">
        <f ca="1">IFERROR(__xludf.DUMMYFUNCTION("""COMPUTED_VALUE"""),"Ліхтэнштэйн")</f>
        <v>Ліхтэнштэйн</v>
      </c>
      <c r="G130" s="14" t="str">
        <f ca="1">IFERROR(__xludf.DUMMYFUNCTION("""COMPUTED_VALUE"""),"Lichtenštejnsko")</f>
        <v>Lichtenštejnsko</v>
      </c>
      <c r="H130" s="14" t="str">
        <f ca="1">IFERROR(__xludf.DUMMYFUNCTION("""COMPUTED_VALUE"""),"Liechtenstein")</f>
        <v>Liechtenstein</v>
      </c>
      <c r="I130" s="14" t="str">
        <f ca="1">IFERROR(__xludf.DUMMYFUNCTION("""COMPUTED_VALUE"""),"Liechtenstein")</f>
        <v>Liechtenstein</v>
      </c>
      <c r="J130" s="14" t="str">
        <f ca="1">IFERROR(__xludf.DUMMYFUNCTION("""COMPUTED_VALUE"""),"Liechtenstein")</f>
        <v>Liechtenstein</v>
      </c>
      <c r="K130" s="14" t="str">
        <f ca="1">IFERROR(__xludf.DUMMYFUNCTION("""COMPUTED_VALUE"""),"Λίχτενσταϊν")</f>
        <v>Λίχτενσταϊν</v>
      </c>
      <c r="L130" s="14" t="str">
        <f ca="1">IFERROR(__xludf.DUMMYFUNCTION("""COMPUTED_VALUE"""),"ΛΙΧΤΕΝΣΤΑΪΝ")</f>
        <v>ΛΙΧΤΕΝΣΤΑΪΝ</v>
      </c>
      <c r="M130" s="14" t="str">
        <f ca="1">IFERROR(__xludf.DUMMYFUNCTION("""COMPUTED_VALUE"""),"Lihtenštajn")</f>
        <v>Lihtenštajn</v>
      </c>
      <c r="N130" s="14" t="str">
        <f ca="1">IFERROR(__xludf.DUMMYFUNCTION("""COMPUTED_VALUE"""),"Liechtenstein")</f>
        <v>Liechtenstein</v>
      </c>
      <c r="O130" s="14" t="str">
        <f ca="1">IFERROR(__xludf.DUMMYFUNCTION("""COMPUTED_VALUE"""),"Liechtenstein")</f>
        <v>Liechtenstein</v>
      </c>
      <c r="P130" s="14" t="str">
        <f ca="1">IFERROR(__xludf.DUMMYFUNCTION("""COMPUTED_VALUE"""),"Liechtenstein")</f>
        <v>Liechtenstein</v>
      </c>
      <c r="Q130" s="14" t="str">
        <f ca="1">IFERROR(__xludf.DUMMYFUNCTION("""COMPUTED_VALUE"""),"리히텐슈타인")</f>
        <v>리히텐슈타인</v>
      </c>
      <c r="R130" s="14" t="str">
        <f ca="1">IFERROR(__xludf.DUMMYFUNCTION("""COMPUTED_VALUE"""),"Liechtenstein")</f>
        <v>Liechtenstein</v>
      </c>
      <c r="S130" s="14" t="str">
        <f ca="1">IFERROR(__xludf.DUMMYFUNCTION("""COMPUTED_VALUE"""),"Liechtenstein")</f>
        <v>Liechtenstein</v>
      </c>
      <c r="T130" s="14" t="str">
        <f ca="1">IFERROR(__xludf.DUMMYFUNCTION("""COMPUTED_VALUE"""),"Liechtenstein")</f>
        <v>Liechtenstein</v>
      </c>
      <c r="U130" s="14" t="str">
        <f ca="1">IFERROR(__xludf.DUMMYFUNCTION("""COMPUTED_VALUE"""),"Lihtenštajn")</f>
        <v>Lihtenštajn</v>
      </c>
      <c r="V130" s="14" t="str">
        <f ca="1">IFERROR(__xludf.DUMMYFUNCTION("""COMPUTED_VALUE"""),"Лихтенштейн")</f>
        <v>Лихтенштейн</v>
      </c>
      <c r="W130" s="14" t="str">
        <f ca="1">IFERROR(__xludf.DUMMYFUNCTION("""COMPUTED_VALUE"""),"Liechtenstein")</f>
        <v>Liechtenstein</v>
      </c>
      <c r="X130" s="14" t="str">
        <f ca="1">IFERROR(__xludf.DUMMYFUNCTION("""COMPUTED_VALUE"""),"Lihtenštajn")</f>
        <v>Lihtenštajn</v>
      </c>
      <c r="Y130" s="14" t="str">
        <f ca="1">IFERROR(__xludf.DUMMYFUNCTION("""COMPUTED_VALUE"""),"Lichtenštajnsko")</f>
        <v>Lichtenštajnsko</v>
      </c>
      <c r="Z130" s="14" t="str">
        <f ca="1">IFERROR(__xludf.DUMMYFUNCTION("""COMPUTED_VALUE"""),"ลิกเตนสไตน์")</f>
        <v>ลิกเตนสไตน์</v>
      </c>
      <c r="AA130" s="14" t="str">
        <f ca="1">IFERROR(__xludf.DUMMYFUNCTION("""COMPUTED_VALUE"""),"Lihtenştayn")</f>
        <v>Lihtenştayn</v>
      </c>
      <c r="AB130" s="14" t="str">
        <f ca="1">IFERROR(__xludf.DUMMYFUNCTION("""COMPUTED_VALUE"""),"LİHTENŞTAYN")</f>
        <v>LİHTENŞTAYN</v>
      </c>
      <c r="AC130" s="14" t="str">
        <f ca="1">IFERROR(__xludf.DUMMYFUNCTION("""COMPUTED_VALUE"""),"Ліхтенштейн")</f>
        <v>Ліхтенштейн</v>
      </c>
      <c r="AD130" s="14" t="str">
        <f ca="1">IFERROR(__xludf.DUMMYFUNCTION("""COMPUTED_VALUE"""),"Liechtenstein")</f>
        <v>Liechtenstein</v>
      </c>
      <c r="AE130" s="14" t="str">
        <f ca="1">IFERROR(__xludf.DUMMYFUNCTION("""COMPUTED_VALUE"""),"Лихтенштейн")</f>
        <v>Лихтенштейн</v>
      </c>
      <c r="AF130" s="14"/>
    </row>
    <row r="131" spans="1:32" ht="13" x14ac:dyDescent="0.15">
      <c r="A131" s="14" t="str">
        <f ca="1">IFERROR(__xludf.DUMMYFUNCTION("""COMPUTED_VALUE"""),"LK")</f>
        <v>LK</v>
      </c>
      <c r="B131" s="14" t="str">
        <f ca="1">IFERROR(__xludf.DUMMYFUNCTION("""COMPUTED_VALUE"""),"Sri Lanka")</f>
        <v>Sri Lanka</v>
      </c>
      <c r="C131" s="14" t="str">
        <f ca="1">IFERROR(__xludf.DUMMYFUNCTION("""COMPUTED_VALUE"""),"سريلانكا")</f>
        <v>سريلانكا</v>
      </c>
      <c r="D131" s="14" t="str">
        <f ca="1">IFERROR(__xludf.DUMMYFUNCTION("""COMPUTED_VALUE"""),"Шри Ланка")</f>
        <v>Шри Ланка</v>
      </c>
      <c r="E131" s="14" t="str">
        <f ca="1">IFERROR(__xludf.DUMMYFUNCTION("""COMPUTED_VALUE"""),"Sri Lanka")</f>
        <v>Sri Lanka</v>
      </c>
      <c r="F131" s="14" t="str">
        <f ca="1">IFERROR(__xludf.DUMMYFUNCTION("""COMPUTED_VALUE"""),"Шры-Ланка")</f>
        <v>Шры-Ланка</v>
      </c>
      <c r="G131" s="14" t="str">
        <f ca="1">IFERROR(__xludf.DUMMYFUNCTION("""COMPUTED_VALUE"""),"Srí Lanka")</f>
        <v>Srí Lanka</v>
      </c>
      <c r="H131" s="14" t="str">
        <f ca="1">IFERROR(__xludf.DUMMYFUNCTION("""COMPUTED_VALUE"""),"Sri Lanka")</f>
        <v>Sri Lanka</v>
      </c>
      <c r="I131" s="14" t="str">
        <f ca="1">IFERROR(__xludf.DUMMYFUNCTION("""COMPUTED_VALUE"""),"Sri Lanka")</f>
        <v>Sri Lanka</v>
      </c>
      <c r="J131" s="14" t="str">
        <f ca="1">IFERROR(__xludf.DUMMYFUNCTION("""COMPUTED_VALUE"""),"Sri Lanka")</f>
        <v>Sri Lanka</v>
      </c>
      <c r="K131" s="14" t="str">
        <f ca="1">IFERROR(__xludf.DUMMYFUNCTION("""COMPUTED_VALUE"""),"Σρι Λάνκα")</f>
        <v>Σρι Λάνκα</v>
      </c>
      <c r="L131" s="14" t="str">
        <f ca="1">IFERROR(__xludf.DUMMYFUNCTION("""COMPUTED_VALUE"""),"ΣΡΙ ΛΑΝΚΑ")</f>
        <v>ΣΡΙ ΛΑΝΚΑ</v>
      </c>
      <c r="M131" s="14" t="str">
        <f ca="1">IFERROR(__xludf.DUMMYFUNCTION("""COMPUTED_VALUE"""),"Šri Lanka")</f>
        <v>Šri Lanka</v>
      </c>
      <c r="N131" s="14" t="str">
        <f ca="1">IFERROR(__xludf.DUMMYFUNCTION("""COMPUTED_VALUE"""),"Srí Lanka")</f>
        <v>Srí Lanka</v>
      </c>
      <c r="O131" s="14" t="str">
        <f ca="1">IFERROR(__xludf.DUMMYFUNCTION("""COMPUTED_VALUE"""),"Sri Lanka")</f>
        <v>Sri Lanka</v>
      </c>
      <c r="P131" s="14" t="str">
        <f ca="1">IFERROR(__xludf.DUMMYFUNCTION("""COMPUTED_VALUE"""),"Sri Lanka")</f>
        <v>Sri Lanka</v>
      </c>
      <c r="Q131" s="14" t="str">
        <f ca="1">IFERROR(__xludf.DUMMYFUNCTION("""COMPUTED_VALUE"""),"스리랑카")</f>
        <v>스리랑카</v>
      </c>
      <c r="R131" s="14" t="str">
        <f ca="1">IFERROR(__xludf.DUMMYFUNCTION("""COMPUTED_VALUE"""),"Sri Lanka")</f>
        <v>Sri Lanka</v>
      </c>
      <c r="S131" s="14" t="str">
        <f ca="1">IFERROR(__xludf.DUMMYFUNCTION("""COMPUTED_VALUE"""),"Sri Lanka")</f>
        <v>Sri Lanka</v>
      </c>
      <c r="T131" s="14" t="str">
        <f ca="1">IFERROR(__xludf.DUMMYFUNCTION("""COMPUTED_VALUE"""),"Sri Lanka")</f>
        <v>Sri Lanka</v>
      </c>
      <c r="U131" s="14" t="str">
        <f ca="1">IFERROR(__xludf.DUMMYFUNCTION("""COMPUTED_VALUE"""),"Šri Lanka")</f>
        <v>Šri Lanka</v>
      </c>
      <c r="V131" s="14" t="str">
        <f ca="1">IFERROR(__xludf.DUMMYFUNCTION("""COMPUTED_VALUE"""),"Шри-Ланка")</f>
        <v>Шри-Ланка</v>
      </c>
      <c r="W131" s="14" t="str">
        <f ca="1">IFERROR(__xludf.DUMMYFUNCTION("""COMPUTED_VALUE"""),"Sri Lanka")</f>
        <v>Sri Lanka</v>
      </c>
      <c r="X131" s="14" t="str">
        <f ca="1">IFERROR(__xludf.DUMMYFUNCTION("""COMPUTED_VALUE"""),"Šrilanka")</f>
        <v>Šrilanka</v>
      </c>
      <c r="Y131" s="14" t="str">
        <f ca="1">IFERROR(__xludf.DUMMYFUNCTION("""COMPUTED_VALUE"""),"Srí Lanka")</f>
        <v>Srí Lanka</v>
      </c>
      <c r="Z131" s="14" t="str">
        <f ca="1">IFERROR(__xludf.DUMMYFUNCTION("""COMPUTED_VALUE"""),"ศรีลังกา")</f>
        <v>ศรีลังกา</v>
      </c>
      <c r="AA131" s="14" t="str">
        <f ca="1">IFERROR(__xludf.DUMMYFUNCTION("""COMPUTED_VALUE"""),"Sri Lanka")</f>
        <v>Sri Lanka</v>
      </c>
      <c r="AB131" s="14" t="str">
        <f ca="1">IFERROR(__xludf.DUMMYFUNCTION("""COMPUTED_VALUE"""),"SRİ LANKA")</f>
        <v>SRİ LANKA</v>
      </c>
      <c r="AC131" s="14" t="str">
        <f ca="1">IFERROR(__xludf.DUMMYFUNCTION("""COMPUTED_VALUE"""),"Шрі-Ланка")</f>
        <v>Шрі-Ланка</v>
      </c>
      <c r="AD131" s="14" t="str">
        <f ca="1">IFERROR(__xludf.DUMMYFUNCTION("""COMPUTED_VALUE"""),"Sri Lanka")</f>
        <v>Sri Lanka</v>
      </c>
      <c r="AE131" s="14" t="str">
        <f ca="1">IFERROR(__xludf.DUMMYFUNCTION("""COMPUTED_VALUE"""),"Шри-Ланка")</f>
        <v>Шри-Ланка</v>
      </c>
      <c r="AF131" s="14"/>
    </row>
    <row r="132" spans="1:32" ht="13" x14ac:dyDescent="0.15">
      <c r="A132" s="14" t="str">
        <f ca="1">IFERROR(__xludf.DUMMYFUNCTION("""COMPUTED_VALUE"""),"LR")</f>
        <v>LR</v>
      </c>
      <c r="B132" s="14" t="str">
        <f ca="1">IFERROR(__xludf.DUMMYFUNCTION("""COMPUTED_VALUE"""),"Liberia")</f>
        <v>Liberia</v>
      </c>
      <c r="C132" s="14" t="str">
        <f ca="1">IFERROR(__xludf.DUMMYFUNCTION("""COMPUTED_VALUE"""),"ليبيريا")</f>
        <v>ليبيريا</v>
      </c>
      <c r="D132" s="14" t="str">
        <f ca="1">IFERROR(__xludf.DUMMYFUNCTION("""COMPUTED_VALUE"""),"Либерия")</f>
        <v>Либерия</v>
      </c>
      <c r="E132" s="14" t="str">
        <f ca="1">IFERROR(__xludf.DUMMYFUNCTION("""COMPUTED_VALUE"""),"Libéria")</f>
        <v>Libéria</v>
      </c>
      <c r="F132" s="14" t="str">
        <f ca="1">IFERROR(__xludf.DUMMYFUNCTION("""COMPUTED_VALUE"""),"Ліберыя")</f>
        <v>Ліберыя</v>
      </c>
      <c r="G132" s="14" t="str">
        <f ca="1">IFERROR(__xludf.DUMMYFUNCTION("""COMPUTED_VALUE"""),"Libérie")</f>
        <v>Libérie</v>
      </c>
      <c r="H132" s="14" t="str">
        <f ca="1">IFERROR(__xludf.DUMMYFUNCTION("""COMPUTED_VALUE"""),"Liberia")</f>
        <v>Liberia</v>
      </c>
      <c r="I132" s="14" t="str">
        <f ca="1">IFERROR(__xludf.DUMMYFUNCTION("""COMPUTED_VALUE"""),"Liberia")</f>
        <v>Liberia</v>
      </c>
      <c r="J132" s="14" t="str">
        <f ca="1">IFERROR(__xludf.DUMMYFUNCTION("""COMPUTED_VALUE"""),"Liberia")</f>
        <v>Liberia</v>
      </c>
      <c r="K132" s="14" t="str">
        <f ca="1">IFERROR(__xludf.DUMMYFUNCTION("""COMPUTED_VALUE"""),"Λιβερία")</f>
        <v>Λιβερία</v>
      </c>
      <c r="L132" s="14" t="str">
        <f ca="1">IFERROR(__xludf.DUMMYFUNCTION("""COMPUTED_VALUE"""),"ΛΙΒΕΡΙΑ")</f>
        <v>ΛΙΒΕΡΙΑ</v>
      </c>
      <c r="M132" s="14" t="str">
        <f ca="1">IFERROR(__xludf.DUMMYFUNCTION("""COMPUTED_VALUE"""),"Liberija")</f>
        <v>Liberija</v>
      </c>
      <c r="N132" s="14" t="str">
        <f ca="1">IFERROR(__xludf.DUMMYFUNCTION("""COMPUTED_VALUE"""),"Libéria")</f>
        <v>Libéria</v>
      </c>
      <c r="O132" s="14" t="str">
        <f ca="1">IFERROR(__xludf.DUMMYFUNCTION("""COMPUTED_VALUE"""),"Liberia")</f>
        <v>Liberia</v>
      </c>
      <c r="P132" s="14" t="str">
        <f ca="1">IFERROR(__xludf.DUMMYFUNCTION("""COMPUTED_VALUE"""),"Liberia")</f>
        <v>Liberia</v>
      </c>
      <c r="Q132" s="14" t="str">
        <f ca="1">IFERROR(__xludf.DUMMYFUNCTION("""COMPUTED_VALUE"""),"라이베리아")</f>
        <v>라이베리아</v>
      </c>
      <c r="R132" s="14" t="str">
        <f ca="1">IFERROR(__xludf.DUMMYFUNCTION("""COMPUTED_VALUE"""),"Liberia")</f>
        <v>Liberia</v>
      </c>
      <c r="S132" s="14" t="str">
        <f ca="1">IFERROR(__xludf.DUMMYFUNCTION("""COMPUTED_VALUE"""),"Libéria")</f>
        <v>Libéria</v>
      </c>
      <c r="T132" s="14" t="str">
        <f ca="1">IFERROR(__xludf.DUMMYFUNCTION("""COMPUTED_VALUE"""),"Liberia")</f>
        <v>Liberia</v>
      </c>
      <c r="U132" s="14" t="str">
        <f ca="1">IFERROR(__xludf.DUMMYFUNCTION("""COMPUTED_VALUE"""),"Liberija")</f>
        <v>Liberija</v>
      </c>
      <c r="V132" s="14" t="str">
        <f ca="1">IFERROR(__xludf.DUMMYFUNCTION("""COMPUTED_VALUE"""),"Либерия")</f>
        <v>Либерия</v>
      </c>
      <c r="W132" s="14" t="str">
        <f ca="1">IFERROR(__xludf.DUMMYFUNCTION("""COMPUTED_VALUE"""),"Liberia")</f>
        <v>Liberia</v>
      </c>
      <c r="X132" s="14" t="str">
        <f ca="1">IFERROR(__xludf.DUMMYFUNCTION("""COMPUTED_VALUE"""),"Liberija")</f>
        <v>Liberija</v>
      </c>
      <c r="Y132" s="14" t="str">
        <f ca="1">IFERROR(__xludf.DUMMYFUNCTION("""COMPUTED_VALUE"""),"Libéria")</f>
        <v>Libéria</v>
      </c>
      <c r="Z132" s="14" t="str">
        <f ca="1">IFERROR(__xludf.DUMMYFUNCTION("""COMPUTED_VALUE"""),"ไลบีเรีย")</f>
        <v>ไลบีเรีย</v>
      </c>
      <c r="AA132" s="14" t="str">
        <f ca="1">IFERROR(__xludf.DUMMYFUNCTION("""COMPUTED_VALUE"""),"Liberya")</f>
        <v>Liberya</v>
      </c>
      <c r="AB132" s="14" t="str">
        <f ca="1">IFERROR(__xludf.DUMMYFUNCTION("""COMPUTED_VALUE"""),"LİBERYA")</f>
        <v>LİBERYA</v>
      </c>
      <c r="AC132" s="14" t="str">
        <f ca="1">IFERROR(__xludf.DUMMYFUNCTION("""COMPUTED_VALUE"""),"Ліберія")</f>
        <v>Ліберія</v>
      </c>
      <c r="AD132" s="14" t="str">
        <f ca="1">IFERROR(__xludf.DUMMYFUNCTION("""COMPUTED_VALUE"""),"Liberia")</f>
        <v>Liberia</v>
      </c>
      <c r="AE132" s="14" t="str">
        <f ca="1">IFERROR(__xludf.DUMMYFUNCTION("""COMPUTED_VALUE"""),"Либерия")</f>
        <v>Либерия</v>
      </c>
      <c r="AF132" s="14"/>
    </row>
    <row r="133" spans="1:32" ht="13" x14ac:dyDescent="0.15">
      <c r="A133" s="14" t="str">
        <f ca="1">IFERROR(__xludf.DUMMYFUNCTION("""COMPUTED_VALUE"""),"LS")</f>
        <v>LS</v>
      </c>
      <c r="B133" s="14" t="str">
        <f ca="1">IFERROR(__xludf.DUMMYFUNCTION("""COMPUTED_VALUE"""),"Lesotho")</f>
        <v>Lesotho</v>
      </c>
      <c r="C133" s="14" t="str">
        <f ca="1">IFERROR(__xludf.DUMMYFUNCTION("""COMPUTED_VALUE"""),"ليسوتو")</f>
        <v>ليسوتو</v>
      </c>
      <c r="D133" s="14" t="str">
        <f ca="1">IFERROR(__xludf.DUMMYFUNCTION("""COMPUTED_VALUE"""),"Лесото")</f>
        <v>Лесото</v>
      </c>
      <c r="E133" s="14" t="str">
        <f ca="1">IFERROR(__xludf.DUMMYFUNCTION("""COMPUTED_VALUE"""),"Lesoto")</f>
        <v>Lesoto</v>
      </c>
      <c r="F133" s="14" t="str">
        <f ca="1">IFERROR(__xludf.DUMMYFUNCTION("""COMPUTED_VALUE"""),"Лесота")</f>
        <v>Лесота</v>
      </c>
      <c r="G133" s="14" t="str">
        <f ca="1">IFERROR(__xludf.DUMMYFUNCTION("""COMPUTED_VALUE"""),"Lesotho")</f>
        <v>Lesotho</v>
      </c>
      <c r="H133" s="14" t="str">
        <f ca="1">IFERROR(__xludf.DUMMYFUNCTION("""COMPUTED_VALUE"""),"Lesotho")</f>
        <v>Lesotho</v>
      </c>
      <c r="I133" s="14" t="str">
        <f ca="1">IFERROR(__xludf.DUMMYFUNCTION("""COMPUTED_VALUE"""),"Lesotho")</f>
        <v>Lesotho</v>
      </c>
      <c r="J133" s="14" t="str">
        <f ca="1">IFERROR(__xludf.DUMMYFUNCTION("""COMPUTED_VALUE"""),"Lesotho")</f>
        <v>Lesotho</v>
      </c>
      <c r="K133" s="14" t="str">
        <f ca="1">IFERROR(__xludf.DUMMYFUNCTION("""COMPUTED_VALUE"""),"Λεσότο")</f>
        <v>Λεσότο</v>
      </c>
      <c r="L133" s="14" t="str">
        <f ca="1">IFERROR(__xludf.DUMMYFUNCTION("""COMPUTED_VALUE"""),"ΛΕΣΟΤΟ")</f>
        <v>ΛΕΣΟΤΟ</v>
      </c>
      <c r="M133" s="14" t="str">
        <f ca="1">IFERROR(__xludf.DUMMYFUNCTION("""COMPUTED_VALUE"""),"Lesoto")</f>
        <v>Lesoto</v>
      </c>
      <c r="N133" s="14" t="str">
        <f ca="1">IFERROR(__xludf.DUMMYFUNCTION("""COMPUTED_VALUE"""),"Lesotho")</f>
        <v>Lesotho</v>
      </c>
      <c r="O133" s="14" t="str">
        <f ca="1">IFERROR(__xludf.DUMMYFUNCTION("""COMPUTED_VALUE"""),"Lesotho")</f>
        <v>Lesotho</v>
      </c>
      <c r="P133" s="14" t="str">
        <f ca="1">IFERROR(__xludf.DUMMYFUNCTION("""COMPUTED_VALUE"""),"Lesotho")</f>
        <v>Lesotho</v>
      </c>
      <c r="Q133" s="14" t="str">
        <f ca="1">IFERROR(__xludf.DUMMYFUNCTION("""COMPUTED_VALUE"""),"레소토")</f>
        <v>레소토</v>
      </c>
      <c r="R133" s="14" t="str">
        <f ca="1">IFERROR(__xludf.DUMMYFUNCTION("""COMPUTED_VALUE"""),"Lesotho")</f>
        <v>Lesotho</v>
      </c>
      <c r="S133" s="14" t="str">
        <f ca="1">IFERROR(__xludf.DUMMYFUNCTION("""COMPUTED_VALUE"""),"Lesoto")</f>
        <v>Lesoto</v>
      </c>
      <c r="T133" s="14" t="str">
        <f ca="1">IFERROR(__xludf.DUMMYFUNCTION("""COMPUTED_VALUE"""),"Lesotho")</f>
        <v>Lesotho</v>
      </c>
      <c r="U133" s="14" t="str">
        <f ca="1">IFERROR(__xludf.DUMMYFUNCTION("""COMPUTED_VALUE"""),"Lesoto")</f>
        <v>Lesoto</v>
      </c>
      <c r="V133" s="14" t="str">
        <f ca="1">IFERROR(__xludf.DUMMYFUNCTION("""COMPUTED_VALUE"""),"Лесото")</f>
        <v>Лесото</v>
      </c>
      <c r="W133" s="14" t="str">
        <f ca="1">IFERROR(__xludf.DUMMYFUNCTION("""COMPUTED_VALUE"""),"Lesotho")</f>
        <v>Lesotho</v>
      </c>
      <c r="X133" s="14" t="str">
        <f ca="1">IFERROR(__xludf.DUMMYFUNCTION("""COMPUTED_VALUE"""),"Lesoto")</f>
        <v>Lesoto</v>
      </c>
      <c r="Y133" s="14" t="str">
        <f ca="1">IFERROR(__xludf.DUMMYFUNCTION("""COMPUTED_VALUE"""),"Lesotho")</f>
        <v>Lesotho</v>
      </c>
      <c r="Z133" s="14" t="str">
        <f ca="1">IFERROR(__xludf.DUMMYFUNCTION("""COMPUTED_VALUE"""),"เลโซโท")</f>
        <v>เลโซโท</v>
      </c>
      <c r="AA133" s="14" t="str">
        <f ca="1">IFERROR(__xludf.DUMMYFUNCTION("""COMPUTED_VALUE"""),"Lesotho")</f>
        <v>Lesotho</v>
      </c>
      <c r="AB133" s="14" t="str">
        <f ca="1">IFERROR(__xludf.DUMMYFUNCTION("""COMPUTED_VALUE"""),"LESOTHO")</f>
        <v>LESOTHO</v>
      </c>
      <c r="AC133" s="14" t="str">
        <f ca="1">IFERROR(__xludf.DUMMYFUNCTION("""COMPUTED_VALUE"""),"Лесото")</f>
        <v>Лесото</v>
      </c>
      <c r="AD133" s="14" t="str">
        <f ca="1">IFERROR(__xludf.DUMMYFUNCTION("""COMPUTED_VALUE"""),"Lesotho")</f>
        <v>Lesotho</v>
      </c>
      <c r="AE133" s="14" t="str">
        <f ca="1">IFERROR(__xludf.DUMMYFUNCTION("""COMPUTED_VALUE"""),"Лесото")</f>
        <v>Лесото</v>
      </c>
      <c r="AF133" s="14"/>
    </row>
    <row r="134" spans="1:32" ht="13" x14ac:dyDescent="0.15">
      <c r="A134" s="14" t="str">
        <f ca="1">IFERROR(__xludf.DUMMYFUNCTION("""COMPUTED_VALUE"""),"LT")</f>
        <v>LT</v>
      </c>
      <c r="B134" s="14" t="str">
        <f ca="1">IFERROR(__xludf.DUMMYFUNCTION("""COMPUTED_VALUE"""),"Lithuania")</f>
        <v>Lithuania</v>
      </c>
      <c r="C134" s="14" t="str">
        <f ca="1">IFERROR(__xludf.DUMMYFUNCTION("""COMPUTED_VALUE"""),"ليتوانيا")</f>
        <v>ليتوانيا</v>
      </c>
      <c r="D134" s="14" t="str">
        <f ca="1">IFERROR(__xludf.DUMMYFUNCTION("""COMPUTED_VALUE"""),"Литва")</f>
        <v>Литва</v>
      </c>
      <c r="E134" s="14" t="str">
        <f ca="1">IFERROR(__xludf.DUMMYFUNCTION("""COMPUTED_VALUE"""),"Lituânia")</f>
        <v>Lituânia</v>
      </c>
      <c r="F134" s="14" t="str">
        <f ca="1">IFERROR(__xludf.DUMMYFUNCTION("""COMPUTED_VALUE"""),"Літва")</f>
        <v>Літва</v>
      </c>
      <c r="G134" s="14" t="str">
        <f ca="1">IFERROR(__xludf.DUMMYFUNCTION("""COMPUTED_VALUE"""),"Litva")</f>
        <v>Litva</v>
      </c>
      <c r="H134" s="14" t="str">
        <f ca="1">IFERROR(__xludf.DUMMYFUNCTION("""COMPUTED_VALUE"""),"Litauen")</f>
        <v>Litauen</v>
      </c>
      <c r="I134" s="14" t="str">
        <f ca="1">IFERROR(__xludf.DUMMYFUNCTION("""COMPUTED_VALUE"""),"Lituania")</f>
        <v>Lituania</v>
      </c>
      <c r="J134" s="14" t="str">
        <f ca="1">IFERROR(__xludf.DUMMYFUNCTION("""COMPUTED_VALUE"""),"Liettua")</f>
        <v>Liettua</v>
      </c>
      <c r="K134" s="14" t="str">
        <f ca="1">IFERROR(__xludf.DUMMYFUNCTION("""COMPUTED_VALUE"""),"Λιθουανία")</f>
        <v>Λιθουανία</v>
      </c>
      <c r="L134" s="14" t="str">
        <f ca="1">IFERROR(__xludf.DUMMYFUNCTION("""COMPUTED_VALUE"""),"ΛΙΘΟΥΑΝΙΑ")</f>
        <v>ΛΙΘΟΥΑΝΙΑ</v>
      </c>
      <c r="M134" s="14" t="str">
        <f ca="1">IFERROR(__xludf.DUMMYFUNCTION("""COMPUTED_VALUE"""),"Litva")</f>
        <v>Litva</v>
      </c>
      <c r="N134" s="14" t="str">
        <f ca="1">IFERROR(__xludf.DUMMYFUNCTION("""COMPUTED_VALUE"""),"Litvánia")</f>
        <v>Litvánia</v>
      </c>
      <c r="O134" s="14" t="str">
        <f ca="1">IFERROR(__xludf.DUMMYFUNCTION("""COMPUTED_VALUE"""),"Lituania")</f>
        <v>Lituania</v>
      </c>
      <c r="P134" s="14" t="str">
        <f ca="1">IFERROR(__xludf.DUMMYFUNCTION("""COMPUTED_VALUE"""),"Lituania")</f>
        <v>Lituania</v>
      </c>
      <c r="Q134" s="14" t="str">
        <f ca="1">IFERROR(__xludf.DUMMYFUNCTION("""COMPUTED_VALUE"""),"리투아니아")</f>
        <v>리투아니아</v>
      </c>
      <c r="R134" s="14" t="str">
        <f ca="1">IFERROR(__xludf.DUMMYFUNCTION("""COMPUTED_VALUE"""),"Litwa")</f>
        <v>Litwa</v>
      </c>
      <c r="S134" s="14" t="str">
        <f ca="1">IFERROR(__xludf.DUMMYFUNCTION("""COMPUTED_VALUE"""),"Lituânia")</f>
        <v>Lituânia</v>
      </c>
      <c r="T134" s="14" t="str">
        <f ca="1">IFERROR(__xludf.DUMMYFUNCTION("""COMPUTED_VALUE"""),"Lituania")</f>
        <v>Lituania</v>
      </c>
      <c r="U134" s="14" t="str">
        <f ca="1">IFERROR(__xludf.DUMMYFUNCTION("""COMPUTED_VALUE"""),"Litvanija")</f>
        <v>Litvanija</v>
      </c>
      <c r="V134" s="14" t="str">
        <f ca="1">IFERROR(__xludf.DUMMYFUNCTION("""COMPUTED_VALUE"""),"Литва")</f>
        <v>Литва</v>
      </c>
      <c r="W134" s="14" t="str">
        <f ca="1">IFERROR(__xludf.DUMMYFUNCTION("""COMPUTED_VALUE"""),"Litauen")</f>
        <v>Litauen</v>
      </c>
      <c r="X134" s="14" t="str">
        <f ca="1">IFERROR(__xludf.DUMMYFUNCTION("""COMPUTED_VALUE"""),"Litva")</f>
        <v>Litva</v>
      </c>
      <c r="Y134" s="14" t="str">
        <f ca="1">IFERROR(__xludf.DUMMYFUNCTION("""COMPUTED_VALUE"""),"Litva")</f>
        <v>Litva</v>
      </c>
      <c r="Z134" s="14" t="str">
        <f ca="1">IFERROR(__xludf.DUMMYFUNCTION("""COMPUTED_VALUE"""),"ลิทัวเนีย")</f>
        <v>ลิทัวเนีย</v>
      </c>
      <c r="AA134" s="14" t="str">
        <f ca="1">IFERROR(__xludf.DUMMYFUNCTION("""COMPUTED_VALUE"""),"Litvanya")</f>
        <v>Litvanya</v>
      </c>
      <c r="AB134" s="14" t="str">
        <f ca="1">IFERROR(__xludf.DUMMYFUNCTION("""COMPUTED_VALUE"""),"LİTVANYA")</f>
        <v>LİTVANYA</v>
      </c>
      <c r="AC134" s="14" t="str">
        <f ca="1">IFERROR(__xludf.DUMMYFUNCTION("""COMPUTED_VALUE"""),"Литва")</f>
        <v>Литва</v>
      </c>
      <c r="AD134" s="14" t="str">
        <f ca="1">IFERROR(__xludf.DUMMYFUNCTION("""COMPUTED_VALUE"""),"Litva")</f>
        <v>Litva</v>
      </c>
      <c r="AE134" s="14" t="str">
        <f ca="1">IFERROR(__xludf.DUMMYFUNCTION("""COMPUTED_VALUE"""),"Литва")</f>
        <v>Литва</v>
      </c>
      <c r="AF134" s="14"/>
    </row>
    <row r="135" spans="1:32" ht="13" x14ac:dyDescent="0.15">
      <c r="A135" s="14" t="str">
        <f ca="1">IFERROR(__xludf.DUMMYFUNCTION("""COMPUTED_VALUE"""),"LU")</f>
        <v>LU</v>
      </c>
      <c r="B135" s="14" t="str">
        <f ca="1">IFERROR(__xludf.DUMMYFUNCTION("""COMPUTED_VALUE"""),"Luxembourg")</f>
        <v>Luxembourg</v>
      </c>
      <c r="C135" s="14" t="str">
        <f ca="1">IFERROR(__xludf.DUMMYFUNCTION("""COMPUTED_VALUE"""),"لوكسمبورج")</f>
        <v>لوكسمبورج</v>
      </c>
      <c r="D135" s="14" t="str">
        <f ca="1">IFERROR(__xludf.DUMMYFUNCTION("""COMPUTED_VALUE"""),"Люксембург")</f>
        <v>Люксембург</v>
      </c>
      <c r="E135" s="14" t="str">
        <f ca="1">IFERROR(__xludf.DUMMYFUNCTION("""COMPUTED_VALUE"""),"Luxemburgo")</f>
        <v>Luxemburgo</v>
      </c>
      <c r="F135" s="14" t="str">
        <f ca="1">IFERROR(__xludf.DUMMYFUNCTION("""COMPUTED_VALUE"""),"Люксембург")</f>
        <v>Люксембург</v>
      </c>
      <c r="G135" s="14" t="str">
        <f ca="1">IFERROR(__xludf.DUMMYFUNCTION("""COMPUTED_VALUE"""),"Lucembursko")</f>
        <v>Lucembursko</v>
      </c>
      <c r="H135" s="14" t="str">
        <f ca="1">IFERROR(__xludf.DUMMYFUNCTION("""COMPUTED_VALUE"""),"Luxemburg")</f>
        <v>Luxemburg</v>
      </c>
      <c r="I135" s="14" t="str">
        <f ca="1">IFERROR(__xludf.DUMMYFUNCTION("""COMPUTED_VALUE"""),"Luxemburgo")</f>
        <v>Luxemburgo</v>
      </c>
      <c r="J135" s="14" t="str">
        <f ca="1">IFERROR(__xludf.DUMMYFUNCTION("""COMPUTED_VALUE"""),"Luxemburg")</f>
        <v>Luxemburg</v>
      </c>
      <c r="K135" s="14" t="str">
        <f ca="1">IFERROR(__xludf.DUMMYFUNCTION("""COMPUTED_VALUE"""),"Λουξεμβούργο")</f>
        <v>Λουξεμβούργο</v>
      </c>
      <c r="L135" s="14" t="str">
        <f ca="1">IFERROR(__xludf.DUMMYFUNCTION("""COMPUTED_VALUE"""),"ΛΟΥΞΕΜΒΟΥΡΓΟ")</f>
        <v>ΛΟΥΞΕΜΒΟΥΡΓΟ</v>
      </c>
      <c r="M135" s="14" t="str">
        <f ca="1">IFERROR(__xludf.DUMMYFUNCTION("""COMPUTED_VALUE"""),"Luksemburg")</f>
        <v>Luksemburg</v>
      </c>
      <c r="N135" s="14" t="str">
        <f ca="1">IFERROR(__xludf.DUMMYFUNCTION("""COMPUTED_VALUE"""),"Luxemburg")</f>
        <v>Luxemburg</v>
      </c>
      <c r="O135" s="14" t="str">
        <f ca="1">IFERROR(__xludf.DUMMYFUNCTION("""COMPUTED_VALUE"""),"Luksemburg")</f>
        <v>Luksemburg</v>
      </c>
      <c r="P135" s="14" t="str">
        <f ca="1">IFERROR(__xludf.DUMMYFUNCTION("""COMPUTED_VALUE"""),"Lussemburgo")</f>
        <v>Lussemburgo</v>
      </c>
      <c r="Q135" s="14" t="str">
        <f ca="1">IFERROR(__xludf.DUMMYFUNCTION("""COMPUTED_VALUE"""),"룩셈부르크")</f>
        <v>룩셈부르크</v>
      </c>
      <c r="R135" s="14" t="str">
        <f ca="1">IFERROR(__xludf.DUMMYFUNCTION("""COMPUTED_VALUE"""),"Luksemburg")</f>
        <v>Luksemburg</v>
      </c>
      <c r="S135" s="14" t="str">
        <f ca="1">IFERROR(__xludf.DUMMYFUNCTION("""COMPUTED_VALUE"""),"Luxemburgo")</f>
        <v>Luxemburgo</v>
      </c>
      <c r="T135" s="14" t="str">
        <f ca="1">IFERROR(__xludf.DUMMYFUNCTION("""COMPUTED_VALUE"""),"Luxemburg")</f>
        <v>Luxemburg</v>
      </c>
      <c r="U135" s="14" t="str">
        <f ca="1">IFERROR(__xludf.DUMMYFUNCTION("""COMPUTED_VALUE"""),"Luksemburg")</f>
        <v>Luksemburg</v>
      </c>
      <c r="V135" s="14" t="str">
        <f ca="1">IFERROR(__xludf.DUMMYFUNCTION("""COMPUTED_VALUE"""),"Люксембург")</f>
        <v>Люксембург</v>
      </c>
      <c r="W135" s="14" t="str">
        <f ca="1">IFERROR(__xludf.DUMMYFUNCTION("""COMPUTED_VALUE"""),"Luxemburg")</f>
        <v>Luxemburg</v>
      </c>
      <c r="X135" s="14" t="str">
        <f ca="1">IFERROR(__xludf.DUMMYFUNCTION("""COMPUTED_VALUE"""),"Luksemburg")</f>
        <v>Luksemburg</v>
      </c>
      <c r="Y135" s="14" t="str">
        <f ca="1">IFERROR(__xludf.DUMMYFUNCTION("""COMPUTED_VALUE"""),"Luxembursko")</f>
        <v>Luxembursko</v>
      </c>
      <c r="Z135" s="14" t="str">
        <f ca="1">IFERROR(__xludf.DUMMYFUNCTION("""COMPUTED_VALUE"""),"ลักเซมเบิร์ก")</f>
        <v>ลักเซมเบิร์ก</v>
      </c>
      <c r="AA135" s="14" t="str">
        <f ca="1">IFERROR(__xludf.DUMMYFUNCTION("""COMPUTED_VALUE"""),"Lüksemburg")</f>
        <v>Lüksemburg</v>
      </c>
      <c r="AB135" s="14" t="str">
        <f ca="1">IFERROR(__xludf.DUMMYFUNCTION("""COMPUTED_VALUE"""),"LÜKSEMBURG")</f>
        <v>LÜKSEMBURG</v>
      </c>
      <c r="AC135" s="14" t="str">
        <f ca="1">IFERROR(__xludf.DUMMYFUNCTION("""COMPUTED_VALUE"""),"Люксембург")</f>
        <v>Люксембург</v>
      </c>
      <c r="AD135" s="14" t="str">
        <f ca="1">IFERROR(__xludf.DUMMYFUNCTION("""COMPUTED_VALUE"""),"Luxembourg")</f>
        <v>Luxembourg</v>
      </c>
      <c r="AE135" s="14" t="str">
        <f ca="1">IFERROR(__xludf.DUMMYFUNCTION("""COMPUTED_VALUE"""),"Люксембург")</f>
        <v>Люксембург</v>
      </c>
      <c r="AF135" s="14"/>
    </row>
    <row r="136" spans="1:32" ht="13" x14ac:dyDescent="0.15">
      <c r="A136" s="14" t="str">
        <f ca="1">IFERROR(__xludf.DUMMYFUNCTION("""COMPUTED_VALUE"""),"LV")</f>
        <v>LV</v>
      </c>
      <c r="B136" s="14" t="str">
        <f ca="1">IFERROR(__xludf.DUMMYFUNCTION("""COMPUTED_VALUE"""),"Latvia")</f>
        <v>Latvia</v>
      </c>
      <c r="C136" s="14" t="str">
        <f ca="1">IFERROR(__xludf.DUMMYFUNCTION("""COMPUTED_VALUE"""),"لاتفيا")</f>
        <v>لاتفيا</v>
      </c>
      <c r="D136" s="14" t="str">
        <f ca="1">IFERROR(__xludf.DUMMYFUNCTION("""COMPUTED_VALUE"""),"Латвия")</f>
        <v>Латвия</v>
      </c>
      <c r="E136" s="14" t="str">
        <f ca="1">IFERROR(__xludf.DUMMYFUNCTION("""COMPUTED_VALUE"""),"Letônia")</f>
        <v>Letônia</v>
      </c>
      <c r="F136" s="14" t="str">
        <f ca="1">IFERROR(__xludf.DUMMYFUNCTION("""COMPUTED_VALUE"""),"Латвія")</f>
        <v>Латвія</v>
      </c>
      <c r="G136" s="14" t="str">
        <f ca="1">IFERROR(__xludf.DUMMYFUNCTION("""COMPUTED_VALUE"""),"Lotyšsko")</f>
        <v>Lotyšsko</v>
      </c>
      <c r="H136" s="14" t="str">
        <f ca="1">IFERROR(__xludf.DUMMYFUNCTION("""COMPUTED_VALUE"""),"Lettland")</f>
        <v>Lettland</v>
      </c>
      <c r="I136" s="14" t="str">
        <f ca="1">IFERROR(__xludf.DUMMYFUNCTION("""COMPUTED_VALUE"""),"Letonia")</f>
        <v>Letonia</v>
      </c>
      <c r="J136" s="14" t="str">
        <f ca="1">IFERROR(__xludf.DUMMYFUNCTION("""COMPUTED_VALUE"""),"Latvia")</f>
        <v>Latvia</v>
      </c>
      <c r="K136" s="14" t="str">
        <f ca="1">IFERROR(__xludf.DUMMYFUNCTION("""COMPUTED_VALUE"""),"Λεττονία")</f>
        <v>Λεττονία</v>
      </c>
      <c r="L136" s="14" t="str">
        <f ca="1">IFERROR(__xludf.DUMMYFUNCTION("""COMPUTED_VALUE"""),"ΛΕΤΤΟΝΙΑ")</f>
        <v>ΛΕΤΤΟΝΙΑ</v>
      </c>
      <c r="M136" s="14" t="str">
        <f ca="1">IFERROR(__xludf.DUMMYFUNCTION("""COMPUTED_VALUE"""),"Latvija")</f>
        <v>Latvija</v>
      </c>
      <c r="N136" s="14" t="str">
        <f ca="1">IFERROR(__xludf.DUMMYFUNCTION("""COMPUTED_VALUE"""),"Lettország")</f>
        <v>Lettország</v>
      </c>
      <c r="O136" s="14" t="str">
        <f ca="1">IFERROR(__xludf.DUMMYFUNCTION("""COMPUTED_VALUE"""),"Latvia")</f>
        <v>Latvia</v>
      </c>
      <c r="P136" s="14" t="str">
        <f ca="1">IFERROR(__xludf.DUMMYFUNCTION("""COMPUTED_VALUE"""),"Lettonia")</f>
        <v>Lettonia</v>
      </c>
      <c r="Q136" s="14" t="str">
        <f ca="1">IFERROR(__xludf.DUMMYFUNCTION("""COMPUTED_VALUE"""),"라트비아")</f>
        <v>라트비아</v>
      </c>
      <c r="R136" s="14" t="str">
        <f ca="1">IFERROR(__xludf.DUMMYFUNCTION("""COMPUTED_VALUE"""),"Łotwa")</f>
        <v>Łotwa</v>
      </c>
      <c r="S136" s="14" t="str">
        <f ca="1">IFERROR(__xludf.DUMMYFUNCTION("""COMPUTED_VALUE"""),"Letónia")</f>
        <v>Letónia</v>
      </c>
      <c r="T136" s="14" t="str">
        <f ca="1">IFERROR(__xludf.DUMMYFUNCTION("""COMPUTED_VALUE"""),"Letonia")</f>
        <v>Letonia</v>
      </c>
      <c r="U136" s="14" t="str">
        <f ca="1">IFERROR(__xludf.DUMMYFUNCTION("""COMPUTED_VALUE"""),"Letonija")</f>
        <v>Letonija</v>
      </c>
      <c r="V136" s="14" t="str">
        <f ca="1">IFERROR(__xludf.DUMMYFUNCTION("""COMPUTED_VALUE"""),"Латвия")</f>
        <v>Латвия</v>
      </c>
      <c r="W136" s="14" t="str">
        <f ca="1">IFERROR(__xludf.DUMMYFUNCTION("""COMPUTED_VALUE"""),"Lettland")</f>
        <v>Lettland</v>
      </c>
      <c r="X136" s="14" t="str">
        <f ca="1">IFERROR(__xludf.DUMMYFUNCTION("""COMPUTED_VALUE"""),"Latvija")</f>
        <v>Latvija</v>
      </c>
      <c r="Y136" s="14" t="str">
        <f ca="1">IFERROR(__xludf.DUMMYFUNCTION("""COMPUTED_VALUE"""),"Lotyšsko")</f>
        <v>Lotyšsko</v>
      </c>
      <c r="Z136" s="14" t="str">
        <f ca="1">IFERROR(__xludf.DUMMYFUNCTION("""COMPUTED_VALUE"""),"ลัตเวีย")</f>
        <v>ลัตเวีย</v>
      </c>
      <c r="AA136" s="14" t="str">
        <f ca="1">IFERROR(__xludf.DUMMYFUNCTION("""COMPUTED_VALUE"""),"Letonya")</f>
        <v>Letonya</v>
      </c>
      <c r="AB136" s="14" t="str">
        <f ca="1">IFERROR(__xludf.DUMMYFUNCTION("""COMPUTED_VALUE"""),"LETONYA")</f>
        <v>LETONYA</v>
      </c>
      <c r="AC136" s="14" t="str">
        <f ca="1">IFERROR(__xludf.DUMMYFUNCTION("""COMPUTED_VALUE"""),"Латвія")</f>
        <v>Латвія</v>
      </c>
      <c r="AD136" s="14" t="str">
        <f ca="1">IFERROR(__xludf.DUMMYFUNCTION("""COMPUTED_VALUE"""),"Latvia")</f>
        <v>Latvia</v>
      </c>
      <c r="AE136" s="14" t="str">
        <f ca="1">IFERROR(__xludf.DUMMYFUNCTION("""COMPUTED_VALUE"""),"Латвия")</f>
        <v>Латвия</v>
      </c>
      <c r="AF136" s="14"/>
    </row>
    <row r="137" spans="1:32" ht="13" x14ac:dyDescent="0.15">
      <c r="A137" s="14" t="str">
        <f ca="1">IFERROR(__xludf.DUMMYFUNCTION("""COMPUTED_VALUE"""),"LY")</f>
        <v>LY</v>
      </c>
      <c r="B137" s="14" t="str">
        <f ca="1">IFERROR(__xludf.DUMMYFUNCTION("""COMPUTED_VALUE"""),"Libyan Arab Jamahiriya")</f>
        <v>Libyan Arab Jamahiriya</v>
      </c>
      <c r="C137" s="14" t="str">
        <f ca="1">IFERROR(__xludf.DUMMYFUNCTION("""COMPUTED_VALUE"""),"ليبيا")</f>
        <v>ليبيا</v>
      </c>
      <c r="D137" s="14" t="str">
        <f ca="1">IFERROR(__xludf.DUMMYFUNCTION("""COMPUTED_VALUE"""),"Либия")</f>
        <v>Либия</v>
      </c>
      <c r="E137" s="14" t="str">
        <f ca="1">IFERROR(__xludf.DUMMYFUNCTION("""COMPUTED_VALUE"""),"Líbia")</f>
        <v>Líbia</v>
      </c>
      <c r="F137" s="14" t="str">
        <f ca="1">IFERROR(__xludf.DUMMYFUNCTION("""COMPUTED_VALUE"""),"Лівія")</f>
        <v>Лівія</v>
      </c>
      <c r="G137" s="14" t="str">
        <f ca="1">IFERROR(__xludf.DUMMYFUNCTION("""COMPUTED_VALUE"""),"Libye")</f>
        <v>Libye</v>
      </c>
      <c r="H137" s="14" t="str">
        <f ca="1">IFERROR(__xludf.DUMMYFUNCTION("""COMPUTED_VALUE"""),"Libyen")</f>
        <v>Libyen</v>
      </c>
      <c r="I137" s="14" t="str">
        <f ca="1">IFERROR(__xludf.DUMMYFUNCTION("""COMPUTED_VALUE"""),"Libia")</f>
        <v>Libia</v>
      </c>
      <c r="J137" s="14" t="str">
        <f ca="1">IFERROR(__xludf.DUMMYFUNCTION("""COMPUTED_VALUE"""),"Libya")</f>
        <v>Libya</v>
      </c>
      <c r="K137" s="14" t="str">
        <f ca="1">IFERROR(__xludf.DUMMYFUNCTION("""COMPUTED_VALUE"""),"Λιβύη")</f>
        <v>Λιβύη</v>
      </c>
      <c r="L137" s="14" t="str">
        <f ca="1">IFERROR(__xludf.DUMMYFUNCTION("""COMPUTED_VALUE"""),"ΛΙΒΥΗ")</f>
        <v>ΛΙΒΥΗ</v>
      </c>
      <c r="M137" s="14" t="str">
        <f ca="1">IFERROR(__xludf.DUMMYFUNCTION("""COMPUTED_VALUE"""),"Libija")</f>
        <v>Libija</v>
      </c>
      <c r="N137" s="14" t="str">
        <f ca="1">IFERROR(__xludf.DUMMYFUNCTION("""COMPUTED_VALUE"""),"Líbia")</f>
        <v>Líbia</v>
      </c>
      <c r="O137" s="14" t="str">
        <f ca="1">IFERROR(__xludf.DUMMYFUNCTION("""COMPUTED_VALUE"""),"Libya")</f>
        <v>Libya</v>
      </c>
      <c r="P137" s="14" t="str">
        <f ca="1">IFERROR(__xludf.DUMMYFUNCTION("""COMPUTED_VALUE"""),"Libia")</f>
        <v>Libia</v>
      </c>
      <c r="Q137" s="14" t="str">
        <f ca="1">IFERROR(__xludf.DUMMYFUNCTION("""COMPUTED_VALUE"""),"리비아")</f>
        <v>리비아</v>
      </c>
      <c r="R137" s="14" t="str">
        <f ca="1">IFERROR(__xludf.DUMMYFUNCTION("""COMPUTED_VALUE"""),"Libia")</f>
        <v>Libia</v>
      </c>
      <c r="S137" s="14" t="str">
        <f ca="1">IFERROR(__xludf.DUMMYFUNCTION("""COMPUTED_VALUE"""),"Líbia")</f>
        <v>Líbia</v>
      </c>
      <c r="T137" s="14" t="str">
        <f ca="1">IFERROR(__xludf.DUMMYFUNCTION("""COMPUTED_VALUE"""),"Libia")</f>
        <v>Libia</v>
      </c>
      <c r="U137" s="14" t="str">
        <f ca="1">IFERROR(__xludf.DUMMYFUNCTION("""COMPUTED_VALUE"""),"Libija")</f>
        <v>Libija</v>
      </c>
      <c r="V137" s="14" t="str">
        <f ca="1">IFERROR(__xludf.DUMMYFUNCTION("""COMPUTED_VALUE"""),"Ливия")</f>
        <v>Ливия</v>
      </c>
      <c r="W137" s="14" t="str">
        <f ca="1">IFERROR(__xludf.DUMMYFUNCTION("""COMPUTED_VALUE"""),"Libyen")</f>
        <v>Libyen</v>
      </c>
      <c r="X137" s="14" t="str">
        <f ca="1">IFERROR(__xludf.DUMMYFUNCTION("""COMPUTED_VALUE"""),"Libija")</f>
        <v>Libija</v>
      </c>
      <c r="Y137" s="14" t="str">
        <f ca="1">IFERROR(__xludf.DUMMYFUNCTION("""COMPUTED_VALUE"""),"Líbya")</f>
        <v>Líbya</v>
      </c>
      <c r="Z137" s="14" t="str">
        <f ca="1">IFERROR(__xludf.DUMMYFUNCTION("""COMPUTED_VALUE"""),"ลิเบีย")</f>
        <v>ลิเบีย</v>
      </c>
      <c r="AA137" s="14" t="str">
        <f ca="1">IFERROR(__xludf.DUMMYFUNCTION("""COMPUTED_VALUE"""),"Libya")</f>
        <v>Libya</v>
      </c>
      <c r="AB137" s="14" t="str">
        <f ca="1">IFERROR(__xludf.DUMMYFUNCTION("""COMPUTED_VALUE"""),"LİBYA")</f>
        <v>LİBYA</v>
      </c>
      <c r="AC137" s="14" t="str">
        <f ca="1">IFERROR(__xludf.DUMMYFUNCTION("""COMPUTED_VALUE"""),"Лівія")</f>
        <v>Лівія</v>
      </c>
      <c r="AD137" s="14" t="str">
        <f ca="1">IFERROR(__xludf.DUMMYFUNCTION("""COMPUTED_VALUE"""),"Libya")</f>
        <v>Libya</v>
      </c>
      <c r="AE137" s="14" t="str">
        <f ca="1">IFERROR(__xludf.DUMMYFUNCTION("""COMPUTED_VALUE"""),"Ливия")</f>
        <v>Ливия</v>
      </c>
      <c r="AF137" s="14"/>
    </row>
    <row r="138" spans="1:32" ht="13" x14ac:dyDescent="0.15">
      <c r="A138" s="14" t="str">
        <f ca="1">IFERROR(__xludf.DUMMYFUNCTION("""COMPUTED_VALUE"""),"MA")</f>
        <v>MA</v>
      </c>
      <c r="B138" s="14" t="str">
        <f ca="1">IFERROR(__xludf.DUMMYFUNCTION("""COMPUTED_VALUE"""),"Morocco")</f>
        <v>Morocco</v>
      </c>
      <c r="C138" s="14" t="str">
        <f ca="1">IFERROR(__xludf.DUMMYFUNCTION("""COMPUTED_VALUE"""),"المغرب")</f>
        <v>المغرب</v>
      </c>
      <c r="D138" s="14" t="str">
        <f ca="1">IFERROR(__xludf.DUMMYFUNCTION("""COMPUTED_VALUE"""),"Мароко")</f>
        <v>Мароко</v>
      </c>
      <c r="E138" s="14" t="str">
        <f ca="1">IFERROR(__xludf.DUMMYFUNCTION("""COMPUTED_VALUE"""),"Marrocos")</f>
        <v>Marrocos</v>
      </c>
      <c r="F138" s="14" t="str">
        <f ca="1">IFERROR(__xludf.DUMMYFUNCTION("""COMPUTED_VALUE"""),"Марока")</f>
        <v>Марока</v>
      </c>
      <c r="G138" s="14" t="str">
        <f ca="1">IFERROR(__xludf.DUMMYFUNCTION("""COMPUTED_VALUE"""),"Maroko")</f>
        <v>Maroko</v>
      </c>
      <c r="H138" s="14" t="str">
        <f ca="1">IFERROR(__xludf.DUMMYFUNCTION("""COMPUTED_VALUE"""),"Marokko")</f>
        <v>Marokko</v>
      </c>
      <c r="I138" s="14" t="str">
        <f ca="1">IFERROR(__xludf.DUMMYFUNCTION("""COMPUTED_VALUE"""),"Marruecos")</f>
        <v>Marruecos</v>
      </c>
      <c r="J138" s="14" t="str">
        <f ca="1">IFERROR(__xludf.DUMMYFUNCTION("""COMPUTED_VALUE"""),"Marokko")</f>
        <v>Marokko</v>
      </c>
      <c r="K138" s="14" t="str">
        <f ca="1">IFERROR(__xludf.DUMMYFUNCTION("""COMPUTED_VALUE"""),"Μαρόκο")</f>
        <v>Μαρόκο</v>
      </c>
      <c r="L138" s="14" t="str">
        <f ca="1">IFERROR(__xludf.DUMMYFUNCTION("""COMPUTED_VALUE"""),"ΜΑΡΟΚΟ")</f>
        <v>ΜΑΡΟΚΟ</v>
      </c>
      <c r="M138" s="14" t="str">
        <f ca="1">IFERROR(__xludf.DUMMYFUNCTION("""COMPUTED_VALUE"""),"Maroko")</f>
        <v>Maroko</v>
      </c>
      <c r="N138" s="14" t="str">
        <f ca="1">IFERROR(__xludf.DUMMYFUNCTION("""COMPUTED_VALUE"""),"Marokkó")</f>
        <v>Marokkó</v>
      </c>
      <c r="O138" s="14" t="str">
        <f ca="1">IFERROR(__xludf.DUMMYFUNCTION("""COMPUTED_VALUE"""),"Maroko")</f>
        <v>Maroko</v>
      </c>
      <c r="P138" s="14" t="str">
        <f ca="1">IFERROR(__xludf.DUMMYFUNCTION("""COMPUTED_VALUE"""),"Marocco")</f>
        <v>Marocco</v>
      </c>
      <c r="Q138" s="14" t="str">
        <f ca="1">IFERROR(__xludf.DUMMYFUNCTION("""COMPUTED_VALUE"""),"모로코")</f>
        <v>모로코</v>
      </c>
      <c r="R138" s="14" t="str">
        <f ca="1">IFERROR(__xludf.DUMMYFUNCTION("""COMPUTED_VALUE"""),"Maroko")</f>
        <v>Maroko</v>
      </c>
      <c r="S138" s="14" t="str">
        <f ca="1">IFERROR(__xludf.DUMMYFUNCTION("""COMPUTED_VALUE"""),"Marrocos")</f>
        <v>Marrocos</v>
      </c>
      <c r="T138" s="14" t="str">
        <f ca="1">IFERROR(__xludf.DUMMYFUNCTION("""COMPUTED_VALUE"""),"Maroc")</f>
        <v>Maroc</v>
      </c>
      <c r="U138" s="14" t="str">
        <f ca="1">IFERROR(__xludf.DUMMYFUNCTION("""COMPUTED_VALUE"""),"Maroko")</f>
        <v>Maroko</v>
      </c>
      <c r="V138" s="14" t="str">
        <f ca="1">IFERROR(__xludf.DUMMYFUNCTION("""COMPUTED_VALUE"""),"Марокко")</f>
        <v>Марокко</v>
      </c>
      <c r="W138" s="14" t="str">
        <f ca="1">IFERROR(__xludf.DUMMYFUNCTION("""COMPUTED_VALUE"""),"Marocko")</f>
        <v>Marocko</v>
      </c>
      <c r="X138" s="14" t="str">
        <f ca="1">IFERROR(__xludf.DUMMYFUNCTION("""COMPUTED_VALUE"""),"Maroko")</f>
        <v>Maroko</v>
      </c>
      <c r="Y138" s="14" t="str">
        <f ca="1">IFERROR(__xludf.DUMMYFUNCTION("""COMPUTED_VALUE"""),"Maroko")</f>
        <v>Maroko</v>
      </c>
      <c r="Z138" s="14" t="str">
        <f ca="1">IFERROR(__xludf.DUMMYFUNCTION("""COMPUTED_VALUE"""),"โมร็อกโก")</f>
        <v>โมร็อกโก</v>
      </c>
      <c r="AA138" s="14" t="str">
        <f ca="1">IFERROR(__xludf.DUMMYFUNCTION("""COMPUTED_VALUE"""),"Fas")</f>
        <v>Fas</v>
      </c>
      <c r="AB138" s="14" t="str">
        <f ca="1">IFERROR(__xludf.DUMMYFUNCTION("""COMPUTED_VALUE"""),"FAS")</f>
        <v>FAS</v>
      </c>
      <c r="AC138" s="14" t="str">
        <f ca="1">IFERROR(__xludf.DUMMYFUNCTION("""COMPUTED_VALUE"""),"Марокко")</f>
        <v>Марокко</v>
      </c>
      <c r="AD138" s="14" t="str">
        <f ca="1">IFERROR(__xludf.DUMMYFUNCTION("""COMPUTED_VALUE"""),"Maroc")</f>
        <v>Maroc</v>
      </c>
      <c r="AE138" s="14" t="str">
        <f ca="1">IFERROR(__xludf.DUMMYFUNCTION("""COMPUTED_VALUE"""),"Марокко")</f>
        <v>Марокко</v>
      </c>
      <c r="AF138" s="14"/>
    </row>
    <row r="139" spans="1:32" ht="13" x14ac:dyDescent="0.15">
      <c r="A139" s="14" t="str">
        <f ca="1">IFERROR(__xludf.DUMMYFUNCTION("""COMPUTED_VALUE"""),"MC")</f>
        <v>MC</v>
      </c>
      <c r="B139" s="14" t="str">
        <f ca="1">IFERROR(__xludf.DUMMYFUNCTION("""COMPUTED_VALUE"""),"Monaco")</f>
        <v>Monaco</v>
      </c>
      <c r="C139" s="14" t="str">
        <f ca="1">IFERROR(__xludf.DUMMYFUNCTION("""COMPUTED_VALUE"""),"موناكو")</f>
        <v>موناكو</v>
      </c>
      <c r="D139" s="14" t="str">
        <f ca="1">IFERROR(__xludf.DUMMYFUNCTION("""COMPUTED_VALUE"""),"Монако")</f>
        <v>Монако</v>
      </c>
      <c r="E139" s="14" t="str">
        <f ca="1">IFERROR(__xludf.DUMMYFUNCTION("""COMPUTED_VALUE"""),"Mônaco")</f>
        <v>Mônaco</v>
      </c>
      <c r="F139" s="14" t="str">
        <f ca="1">IFERROR(__xludf.DUMMYFUNCTION("""COMPUTED_VALUE"""),"Манака")</f>
        <v>Манака</v>
      </c>
      <c r="G139" s="14" t="str">
        <f ca="1">IFERROR(__xludf.DUMMYFUNCTION("""COMPUTED_VALUE"""),"Monako")</f>
        <v>Monako</v>
      </c>
      <c r="H139" s="14" t="str">
        <f ca="1">IFERROR(__xludf.DUMMYFUNCTION("""COMPUTED_VALUE"""),"Monaco")</f>
        <v>Monaco</v>
      </c>
      <c r="I139" s="14" t="str">
        <f ca="1">IFERROR(__xludf.DUMMYFUNCTION("""COMPUTED_VALUE"""),"Mónaco")</f>
        <v>Mónaco</v>
      </c>
      <c r="J139" s="14" t="str">
        <f ca="1">IFERROR(__xludf.DUMMYFUNCTION("""COMPUTED_VALUE"""),"Monaco")</f>
        <v>Monaco</v>
      </c>
      <c r="K139" s="14" t="str">
        <f ca="1">IFERROR(__xludf.DUMMYFUNCTION("""COMPUTED_VALUE"""),"Μονακό")</f>
        <v>Μονακό</v>
      </c>
      <c r="L139" s="14" t="str">
        <f ca="1">IFERROR(__xludf.DUMMYFUNCTION("""COMPUTED_VALUE"""),"ΜΟΝΑΚΟ")</f>
        <v>ΜΟΝΑΚΟ</v>
      </c>
      <c r="M139" s="14" t="str">
        <f ca="1">IFERROR(__xludf.DUMMYFUNCTION("""COMPUTED_VALUE"""),"Monako")</f>
        <v>Monako</v>
      </c>
      <c r="N139" s="14" t="str">
        <f ca="1">IFERROR(__xludf.DUMMYFUNCTION("""COMPUTED_VALUE"""),"Monaco")</f>
        <v>Monaco</v>
      </c>
      <c r="O139" s="14" t="str">
        <f ca="1">IFERROR(__xludf.DUMMYFUNCTION("""COMPUTED_VALUE"""),"Monako")</f>
        <v>Monako</v>
      </c>
      <c r="P139" s="14" t="str">
        <f ca="1">IFERROR(__xludf.DUMMYFUNCTION("""COMPUTED_VALUE"""),"Monaco")</f>
        <v>Monaco</v>
      </c>
      <c r="Q139" s="14" t="str">
        <f ca="1">IFERROR(__xludf.DUMMYFUNCTION("""COMPUTED_VALUE"""),"모나코")</f>
        <v>모나코</v>
      </c>
      <c r="R139" s="14" t="str">
        <f ca="1">IFERROR(__xludf.DUMMYFUNCTION("""COMPUTED_VALUE"""),"Monako")</f>
        <v>Monako</v>
      </c>
      <c r="S139" s="14" t="str">
        <f ca="1">IFERROR(__xludf.DUMMYFUNCTION("""COMPUTED_VALUE"""),"Mônaco")</f>
        <v>Mônaco</v>
      </c>
      <c r="T139" s="14" t="str">
        <f ca="1">IFERROR(__xludf.DUMMYFUNCTION("""COMPUTED_VALUE"""),"Monaco")</f>
        <v>Monaco</v>
      </c>
      <c r="U139" s="14" t="str">
        <f ca="1">IFERROR(__xludf.DUMMYFUNCTION("""COMPUTED_VALUE"""),"Monako")</f>
        <v>Monako</v>
      </c>
      <c r="V139" s="14" t="str">
        <f ca="1">IFERROR(__xludf.DUMMYFUNCTION("""COMPUTED_VALUE"""),"Монако")</f>
        <v>Монако</v>
      </c>
      <c r="W139" s="14" t="str">
        <f ca="1">IFERROR(__xludf.DUMMYFUNCTION("""COMPUTED_VALUE"""),"Monaco")</f>
        <v>Monaco</v>
      </c>
      <c r="X139" s="14" t="str">
        <f ca="1">IFERROR(__xludf.DUMMYFUNCTION("""COMPUTED_VALUE"""),"Monako")</f>
        <v>Monako</v>
      </c>
      <c r="Y139" s="14" t="str">
        <f ca="1">IFERROR(__xludf.DUMMYFUNCTION("""COMPUTED_VALUE"""),"Monako")</f>
        <v>Monako</v>
      </c>
      <c r="Z139" s="14" t="str">
        <f ca="1">IFERROR(__xludf.DUMMYFUNCTION("""COMPUTED_VALUE"""),"โมนาโก")</f>
        <v>โมนาโก</v>
      </c>
      <c r="AA139" s="14" t="str">
        <f ca="1">IFERROR(__xludf.DUMMYFUNCTION("""COMPUTED_VALUE"""),"Monako")</f>
        <v>Monako</v>
      </c>
      <c r="AB139" s="14" t="str">
        <f ca="1">IFERROR(__xludf.DUMMYFUNCTION("""COMPUTED_VALUE"""),"MONAKO")</f>
        <v>MONAKO</v>
      </c>
      <c r="AC139" s="14" t="str">
        <f ca="1">IFERROR(__xludf.DUMMYFUNCTION("""COMPUTED_VALUE"""),"Монако")</f>
        <v>Монако</v>
      </c>
      <c r="AD139" s="14" t="str">
        <f ca="1">IFERROR(__xludf.DUMMYFUNCTION("""COMPUTED_VALUE"""),"Monaco")</f>
        <v>Monaco</v>
      </c>
      <c r="AE139" s="14" t="str">
        <f ca="1">IFERROR(__xludf.DUMMYFUNCTION("""COMPUTED_VALUE"""),"Монако")</f>
        <v>Монако</v>
      </c>
      <c r="AF139" s="14"/>
    </row>
    <row r="140" spans="1:32" ht="13" x14ac:dyDescent="0.15">
      <c r="A140" s="14" t="str">
        <f ca="1">IFERROR(__xludf.DUMMYFUNCTION("""COMPUTED_VALUE"""),"MD")</f>
        <v>MD</v>
      </c>
      <c r="B140" s="14" t="str">
        <f ca="1">IFERROR(__xludf.DUMMYFUNCTION("""COMPUTED_VALUE"""),"Moldova")</f>
        <v>Moldova</v>
      </c>
      <c r="C140" s="14" t="str">
        <f ca="1">IFERROR(__xludf.DUMMYFUNCTION("""COMPUTED_VALUE"""),"مولدافيا")</f>
        <v>مولدافيا</v>
      </c>
      <c r="D140" s="14" t="str">
        <f ca="1">IFERROR(__xludf.DUMMYFUNCTION("""COMPUTED_VALUE"""),"Молдова")</f>
        <v>Молдова</v>
      </c>
      <c r="E140" s="14" t="str">
        <f ca="1">IFERROR(__xludf.DUMMYFUNCTION("""COMPUTED_VALUE"""),"Moldávia")</f>
        <v>Moldávia</v>
      </c>
      <c r="F140" s="14" t="str">
        <f ca="1">IFERROR(__xludf.DUMMYFUNCTION("""COMPUTED_VALUE"""),"Малдова")</f>
        <v>Малдова</v>
      </c>
      <c r="G140" s="14" t="str">
        <f ca="1">IFERROR(__xludf.DUMMYFUNCTION("""COMPUTED_VALUE"""),"Moldavsko")</f>
        <v>Moldavsko</v>
      </c>
      <c r="H140" s="14" t="str">
        <f ca="1">IFERROR(__xludf.DUMMYFUNCTION("""COMPUTED_VALUE"""),"Moldawien")</f>
        <v>Moldawien</v>
      </c>
      <c r="I140" s="14" t="str">
        <f ca="1">IFERROR(__xludf.DUMMYFUNCTION("""COMPUTED_VALUE"""),"Moldova")</f>
        <v>Moldova</v>
      </c>
      <c r="J140" s="14" t="str">
        <f ca="1">IFERROR(__xludf.DUMMYFUNCTION("""COMPUTED_VALUE"""),"Moldova")</f>
        <v>Moldova</v>
      </c>
      <c r="K140" s="14" t="str">
        <f ca="1">IFERROR(__xludf.DUMMYFUNCTION("""COMPUTED_VALUE"""),"Μολδαβία")</f>
        <v>Μολδαβία</v>
      </c>
      <c r="L140" s="14" t="str">
        <f ca="1">IFERROR(__xludf.DUMMYFUNCTION("""COMPUTED_VALUE"""),"ΜΟΛΔΑΒΙΑ")</f>
        <v>ΜΟΛΔΑΒΙΑ</v>
      </c>
      <c r="M140" s="14" t="str">
        <f ca="1">IFERROR(__xludf.DUMMYFUNCTION("""COMPUTED_VALUE"""),"Moldova")</f>
        <v>Moldova</v>
      </c>
      <c r="N140" s="14" t="str">
        <f ca="1">IFERROR(__xludf.DUMMYFUNCTION("""COMPUTED_VALUE"""),"Moldova")</f>
        <v>Moldova</v>
      </c>
      <c r="O140" s="14" t="str">
        <f ca="1">IFERROR(__xludf.DUMMYFUNCTION("""COMPUTED_VALUE"""),"Moldova")</f>
        <v>Moldova</v>
      </c>
      <c r="P140" s="14" t="str">
        <f ca="1">IFERROR(__xludf.DUMMYFUNCTION("""COMPUTED_VALUE"""),"Moldavia")</f>
        <v>Moldavia</v>
      </c>
      <c r="Q140" s="14" t="str">
        <f ca="1">IFERROR(__xludf.DUMMYFUNCTION("""COMPUTED_VALUE"""),"몰도바")</f>
        <v>몰도바</v>
      </c>
      <c r="R140" s="14" t="str">
        <f ca="1">IFERROR(__xludf.DUMMYFUNCTION("""COMPUTED_VALUE"""),"Mołdawia")</f>
        <v>Mołdawia</v>
      </c>
      <c r="S140" s="14" t="str">
        <f ca="1">IFERROR(__xludf.DUMMYFUNCTION("""COMPUTED_VALUE"""),"Moldávia")</f>
        <v>Moldávia</v>
      </c>
      <c r="T140" s="14" t="str">
        <f ca="1">IFERROR(__xludf.DUMMYFUNCTION("""COMPUTED_VALUE"""),"Republica Moldova")</f>
        <v>Republica Moldova</v>
      </c>
      <c r="U140" s="14" t="str">
        <f ca="1">IFERROR(__xludf.DUMMYFUNCTION("""COMPUTED_VALUE"""),"Moldavija")</f>
        <v>Moldavija</v>
      </c>
      <c r="V140" s="14" t="str">
        <f ca="1">IFERROR(__xludf.DUMMYFUNCTION("""COMPUTED_VALUE"""),"Молдова")</f>
        <v>Молдова</v>
      </c>
      <c r="W140" s="14" t="str">
        <f ca="1">IFERROR(__xludf.DUMMYFUNCTION("""COMPUTED_VALUE"""),"Moldavien")</f>
        <v>Moldavien</v>
      </c>
      <c r="X140" s="14" t="str">
        <f ca="1">IFERROR(__xludf.DUMMYFUNCTION("""COMPUTED_VALUE"""),"Moldavija")</f>
        <v>Moldavija</v>
      </c>
      <c r="Y140" s="14" t="str">
        <f ca="1">IFERROR(__xludf.DUMMYFUNCTION("""COMPUTED_VALUE"""),"Moldavsko")</f>
        <v>Moldavsko</v>
      </c>
      <c r="Z140" s="14" t="str">
        <f ca="1">IFERROR(__xludf.DUMMYFUNCTION("""COMPUTED_VALUE"""),"มอลโดวา")</f>
        <v>มอลโดวา</v>
      </c>
      <c r="AA140" s="14" t="str">
        <f ca="1">IFERROR(__xludf.DUMMYFUNCTION("""COMPUTED_VALUE"""),"Moldova")</f>
        <v>Moldova</v>
      </c>
      <c r="AB140" s="14" t="str">
        <f ca="1">IFERROR(__xludf.DUMMYFUNCTION("""COMPUTED_VALUE"""),"MOLDOVA")</f>
        <v>MOLDOVA</v>
      </c>
      <c r="AC140" s="14" t="str">
        <f ca="1">IFERROR(__xludf.DUMMYFUNCTION("""COMPUTED_VALUE"""),"Молдова")</f>
        <v>Молдова</v>
      </c>
      <c r="AD140" s="14" t="str">
        <f ca="1">IFERROR(__xludf.DUMMYFUNCTION("""COMPUTED_VALUE"""),"Moldova")</f>
        <v>Moldova</v>
      </c>
      <c r="AE140" s="14" t="str">
        <f ca="1">IFERROR(__xludf.DUMMYFUNCTION("""COMPUTED_VALUE"""),"Молдова")</f>
        <v>Молдова</v>
      </c>
      <c r="AF140" s="14"/>
    </row>
    <row r="141" spans="1:32" ht="13" x14ac:dyDescent="0.15">
      <c r="A141" s="14" t="str">
        <f ca="1">IFERROR(__xludf.DUMMYFUNCTION("""COMPUTED_VALUE"""),"ME")</f>
        <v>ME</v>
      </c>
      <c r="B141" s="14" t="str">
        <f ca="1">IFERROR(__xludf.DUMMYFUNCTION("""COMPUTED_VALUE"""),"Montenegro")</f>
        <v>Montenegro</v>
      </c>
      <c r="C141" s="14" t="str">
        <f ca="1">IFERROR(__xludf.DUMMYFUNCTION("""COMPUTED_VALUE"""),"الجبل الأسود")</f>
        <v>الجبل الأسود</v>
      </c>
      <c r="D141" s="14" t="str">
        <f ca="1">IFERROR(__xludf.DUMMYFUNCTION("""COMPUTED_VALUE"""),"Черна гора")</f>
        <v>Черна гора</v>
      </c>
      <c r="E141" s="14" t="str">
        <f ca="1">IFERROR(__xludf.DUMMYFUNCTION("""COMPUTED_VALUE"""),"Montenegro")</f>
        <v>Montenegro</v>
      </c>
      <c r="F141" s="14" t="str">
        <f ca="1">IFERROR(__xludf.DUMMYFUNCTION("""COMPUTED_VALUE"""),"Чарнагорыя")</f>
        <v>Чарнагорыя</v>
      </c>
      <c r="G141" s="14" t="str">
        <f ca="1">IFERROR(__xludf.DUMMYFUNCTION("""COMPUTED_VALUE"""),"Černá Hora")</f>
        <v>Černá Hora</v>
      </c>
      <c r="H141" s="14" t="str">
        <f ca="1">IFERROR(__xludf.DUMMYFUNCTION("""COMPUTED_VALUE"""),"Montenegro")</f>
        <v>Montenegro</v>
      </c>
      <c r="I141" s="14" t="str">
        <f ca="1">IFERROR(__xludf.DUMMYFUNCTION("""COMPUTED_VALUE"""),"Montenegro")</f>
        <v>Montenegro</v>
      </c>
      <c r="J141" s="14" t="str">
        <f ca="1">IFERROR(__xludf.DUMMYFUNCTION("""COMPUTED_VALUE"""),"Montenegro")</f>
        <v>Montenegro</v>
      </c>
      <c r="K141" s="14" t="str">
        <f ca="1">IFERROR(__xludf.DUMMYFUNCTION("""COMPUTED_VALUE"""),"Μαυροβούνιο")</f>
        <v>Μαυροβούνιο</v>
      </c>
      <c r="L141" s="14" t="str">
        <f ca="1">IFERROR(__xludf.DUMMYFUNCTION("""COMPUTED_VALUE"""),"ΜΑΥΡΟΒΟΥΝΙΟ")</f>
        <v>ΜΑΥΡΟΒΟΥΝΙΟ</v>
      </c>
      <c r="M141" s="14" t="str">
        <f ca="1">IFERROR(__xludf.DUMMYFUNCTION("""COMPUTED_VALUE"""),"Crna Gora")</f>
        <v>Crna Gora</v>
      </c>
      <c r="N141" s="14" t="str">
        <f ca="1">IFERROR(__xludf.DUMMYFUNCTION("""COMPUTED_VALUE"""),"Montenegró")</f>
        <v>Montenegró</v>
      </c>
      <c r="O141" s="14" t="str">
        <f ca="1">IFERROR(__xludf.DUMMYFUNCTION("""COMPUTED_VALUE"""),"Montenegro")</f>
        <v>Montenegro</v>
      </c>
      <c r="P141" s="14" t="str">
        <f ca="1">IFERROR(__xludf.DUMMYFUNCTION("""COMPUTED_VALUE"""),"Montenegro")</f>
        <v>Montenegro</v>
      </c>
      <c r="Q141" s="14" t="str">
        <f ca="1">IFERROR(__xludf.DUMMYFUNCTION("""COMPUTED_VALUE"""),"몬테네그로")</f>
        <v>몬테네그로</v>
      </c>
      <c r="R141" s="14" t="str">
        <f ca="1">IFERROR(__xludf.DUMMYFUNCTION("""COMPUTED_VALUE"""),"Czarnogóra")</f>
        <v>Czarnogóra</v>
      </c>
      <c r="S141" s="14" t="str">
        <f ca="1">IFERROR(__xludf.DUMMYFUNCTION("""COMPUTED_VALUE"""),"Montenegro")</f>
        <v>Montenegro</v>
      </c>
      <c r="T141" s="14" t="str">
        <f ca="1">IFERROR(__xludf.DUMMYFUNCTION("""COMPUTED_VALUE"""),"Muntenegru")</f>
        <v>Muntenegru</v>
      </c>
      <c r="U141" s="14" t="str">
        <f ca="1">IFERROR(__xludf.DUMMYFUNCTION("""COMPUTED_VALUE"""),"Crna Gora")</f>
        <v>Crna Gora</v>
      </c>
      <c r="V141" s="14" t="str">
        <f ca="1">IFERROR(__xludf.DUMMYFUNCTION("""COMPUTED_VALUE"""),"Черногория")</f>
        <v>Черногория</v>
      </c>
      <c r="W141" s="14" t="str">
        <f ca="1">IFERROR(__xludf.DUMMYFUNCTION("""COMPUTED_VALUE"""),"Montenegro")</f>
        <v>Montenegro</v>
      </c>
      <c r="X141" s="14" t="str">
        <f ca="1">IFERROR(__xludf.DUMMYFUNCTION("""COMPUTED_VALUE"""),"Črna gora")</f>
        <v>Črna gora</v>
      </c>
      <c r="Y141" s="14" t="str">
        <f ca="1">IFERROR(__xludf.DUMMYFUNCTION("""COMPUTED_VALUE"""),"Čierna Hora")</f>
        <v>Čierna Hora</v>
      </c>
      <c r="Z141" s="14" t="str">
        <f ca="1">IFERROR(__xludf.DUMMYFUNCTION("""COMPUTED_VALUE"""),"มอนเตเนโกร")</f>
        <v>มอนเตเนโกร</v>
      </c>
      <c r="AA141" s="14" t="str">
        <f ca="1">IFERROR(__xludf.DUMMYFUNCTION("""COMPUTED_VALUE"""),"Karadağ")</f>
        <v>Karadağ</v>
      </c>
      <c r="AB141" s="14" t="str">
        <f ca="1">IFERROR(__xludf.DUMMYFUNCTION("""COMPUTED_VALUE"""),"KARADAĞ")</f>
        <v>KARADAĞ</v>
      </c>
      <c r="AC141" s="14" t="str">
        <f ca="1">IFERROR(__xludf.DUMMYFUNCTION("""COMPUTED_VALUE"""),"Чорногорія")</f>
        <v>Чорногорія</v>
      </c>
      <c r="AD141" s="14" t="str">
        <f ca="1">IFERROR(__xludf.DUMMYFUNCTION("""COMPUTED_VALUE"""),"Montenegro")</f>
        <v>Montenegro</v>
      </c>
      <c r="AE141" s="14" t="str">
        <f ca="1">IFERROR(__xludf.DUMMYFUNCTION("""COMPUTED_VALUE"""),"Черногория")</f>
        <v>Черногория</v>
      </c>
      <c r="AF141" s="14"/>
    </row>
    <row r="142" spans="1:32" ht="13" x14ac:dyDescent="0.15">
      <c r="A142" s="14" t="str">
        <f ca="1">IFERROR(__xludf.DUMMYFUNCTION("""COMPUTED_VALUE"""),"MF")</f>
        <v>MF</v>
      </c>
      <c r="B142" s="14" t="str">
        <f ca="1">IFERROR(__xludf.DUMMYFUNCTION("""COMPUTED_VALUE"""),"Saint Martin (French part)")</f>
        <v>Saint Martin (French part)</v>
      </c>
      <c r="C142" s="14" t="str">
        <f ca="1">IFERROR(__xludf.DUMMYFUNCTION("""COMPUTED_VALUE"""),"سانت مارتين")</f>
        <v>سانت مارتين</v>
      </c>
      <c r="D142" s="14" t="str">
        <f ca="1">IFERROR(__xludf.DUMMYFUNCTION("""COMPUTED_VALUE"""),"Сен Мартен")</f>
        <v>Сен Мартен</v>
      </c>
      <c r="E142" s="14" t="str">
        <f ca="1">IFERROR(__xludf.DUMMYFUNCTION("""COMPUTED_VALUE"""),"São Martinho (França)")</f>
        <v>São Martinho (França)</v>
      </c>
      <c r="F142" s="14"/>
      <c r="G142" s="14" t="str">
        <f ca="1">IFERROR(__xludf.DUMMYFUNCTION("""COMPUTED_VALUE"""),"Svatý Martin (francouzská část)")</f>
        <v>Svatý Martin (francouzská část)</v>
      </c>
      <c r="H142" s="14" t="str">
        <f ca="1">IFERROR(__xludf.DUMMYFUNCTION("""COMPUTED_VALUE"""),"Saint-Martin (franz. Teil)")</f>
        <v>Saint-Martin (franz. Teil)</v>
      </c>
      <c r="I142" s="14" t="str">
        <f ca="1">IFERROR(__xludf.DUMMYFUNCTION("""COMPUTED_VALUE"""),"Saint Martin (parte francesa)")</f>
        <v>Saint Martin (parte francesa)</v>
      </c>
      <c r="J142" s="14"/>
      <c r="K142" s="14" t="str">
        <f ca="1">IFERROR(__xludf.DUMMYFUNCTION("""COMPUTED_VALUE"""),"Άγιος Μαρτίνος (Γαλλία)")</f>
        <v>Άγιος Μαρτίνος (Γαλλία)</v>
      </c>
      <c r="L142" s="14" t="str">
        <f ca="1">IFERROR(__xludf.DUMMYFUNCTION("""COMPUTED_VALUE"""),"ΑΓΙΟΣ ΜΑΡΤΙΝΟΣ (ΓΑΛΛΙΑ)")</f>
        <v>ΑΓΙΟΣ ΜΑΡΤΙΝΟΣ (ΓΑΛΛΙΑ)</v>
      </c>
      <c r="M142" s="14"/>
      <c r="N142" s="14" t="str">
        <f ca="1">IFERROR(__xludf.DUMMYFUNCTION("""COMPUTED_VALUE"""),"Saint-Martin")</f>
        <v>Saint-Martin</v>
      </c>
      <c r="O142" s="14" t="str">
        <f ca="1">IFERROR(__xludf.DUMMYFUNCTION("""COMPUTED_VALUE"""),"Saint Martin (Perancis)")</f>
        <v>Saint Martin (Perancis)</v>
      </c>
      <c r="P142" s="14" t="str">
        <f ca="1">IFERROR(__xludf.DUMMYFUNCTION("""COMPUTED_VALUE"""),"Saint-Martin")</f>
        <v>Saint-Martin</v>
      </c>
      <c r="Q142" s="14"/>
      <c r="R142" s="14" t="str">
        <f ca="1">IFERROR(__xludf.DUMMYFUNCTION("""COMPUTED_VALUE"""),"Saint-Martin")</f>
        <v>Saint-Martin</v>
      </c>
      <c r="S142" s="14" t="str">
        <f ca="1">IFERROR(__xludf.DUMMYFUNCTION("""COMPUTED_VALUE"""),"São Martinho (França)")</f>
        <v>São Martinho (França)</v>
      </c>
      <c r="T142" s="14" t="str">
        <f ca="1">IFERROR(__xludf.DUMMYFUNCTION("""COMPUTED_VALUE"""),"Sint Maarten (partea franceză)")</f>
        <v>Sint Maarten (partea franceză)</v>
      </c>
      <c r="U142" s="14"/>
      <c r="V142" s="14" t="str">
        <f ca="1">IFERROR(__xludf.DUMMYFUNCTION("""COMPUTED_VALUE"""),"Сен-Мартен")</f>
        <v>Сен-Мартен</v>
      </c>
      <c r="W142" s="14"/>
      <c r="X142" s="14"/>
      <c r="Y142" s="14" t="str">
        <f ca="1">IFERROR(__xludf.DUMMYFUNCTION("""COMPUTED_VALUE"""),"Saint-Martin")</f>
        <v>Saint-Martin</v>
      </c>
      <c r="Z142" s="14" t="str">
        <f ca="1">IFERROR(__xludf.DUMMYFUNCTION("""COMPUTED_VALUE"""),"แซงมาร์แตง")</f>
        <v>แซงมาร์แตง</v>
      </c>
      <c r="AA142" s="14" t="str">
        <f ca="1">IFERROR(__xludf.DUMMYFUNCTION("""COMPUTED_VALUE"""),"Saint Martin (Fransız bölümü)")</f>
        <v>Saint Martin (Fransız bölümü)</v>
      </c>
      <c r="AB142" s="14" t="str">
        <f ca="1">IFERROR(__xludf.DUMMYFUNCTION("""COMPUTED_VALUE"""),"SAİNT MARTİN (FRANSIZ BÖLÜMÜ)")</f>
        <v>SAİNT MARTİN (FRANSIZ BÖLÜMÜ)</v>
      </c>
      <c r="AC142" s="14" t="str">
        <f ca="1">IFERROR(__xludf.DUMMYFUNCTION("""COMPUTED_VALUE"""),"Сен-Мартен")</f>
        <v>Сен-Мартен</v>
      </c>
      <c r="AD142" s="14"/>
      <c r="AE142" s="14" t="str">
        <f ca="1">IFERROR(__xludf.DUMMYFUNCTION("""COMPUTED_VALUE"""),"")</f>
        <v/>
      </c>
      <c r="AF142" s="14"/>
    </row>
    <row r="143" spans="1:32" ht="13" x14ac:dyDescent="0.15">
      <c r="A143" s="14" t="str">
        <f ca="1">IFERROR(__xludf.DUMMYFUNCTION("""COMPUTED_VALUE"""),"MG")</f>
        <v>MG</v>
      </c>
      <c r="B143" s="14" t="str">
        <f ca="1">IFERROR(__xludf.DUMMYFUNCTION("""COMPUTED_VALUE"""),"Madagascar")</f>
        <v>Madagascar</v>
      </c>
      <c r="C143" s="14" t="str">
        <f ca="1">IFERROR(__xludf.DUMMYFUNCTION("""COMPUTED_VALUE"""),"مدغشقر")</f>
        <v>مدغشقر</v>
      </c>
      <c r="D143" s="14" t="str">
        <f ca="1">IFERROR(__xludf.DUMMYFUNCTION("""COMPUTED_VALUE"""),"Мадагаскар")</f>
        <v>Мадагаскар</v>
      </c>
      <c r="E143" s="14" t="str">
        <f ca="1">IFERROR(__xludf.DUMMYFUNCTION("""COMPUTED_VALUE"""),"Madagáscar")</f>
        <v>Madagáscar</v>
      </c>
      <c r="F143" s="14" t="str">
        <f ca="1">IFERROR(__xludf.DUMMYFUNCTION("""COMPUTED_VALUE"""),"Мадагаскар")</f>
        <v>Мадагаскар</v>
      </c>
      <c r="G143" s="14" t="str">
        <f ca="1">IFERROR(__xludf.DUMMYFUNCTION("""COMPUTED_VALUE"""),"Madagaskar")</f>
        <v>Madagaskar</v>
      </c>
      <c r="H143" s="14" t="str">
        <f ca="1">IFERROR(__xludf.DUMMYFUNCTION("""COMPUTED_VALUE"""),"Madagaskar")</f>
        <v>Madagaskar</v>
      </c>
      <c r="I143" s="14" t="str">
        <f ca="1">IFERROR(__xludf.DUMMYFUNCTION("""COMPUTED_VALUE"""),"Madagascar")</f>
        <v>Madagascar</v>
      </c>
      <c r="J143" s="14" t="str">
        <f ca="1">IFERROR(__xludf.DUMMYFUNCTION("""COMPUTED_VALUE"""),"Madagaskar")</f>
        <v>Madagaskar</v>
      </c>
      <c r="K143" s="14" t="str">
        <f ca="1">IFERROR(__xludf.DUMMYFUNCTION("""COMPUTED_VALUE"""),"Μαδαγασκάρη")</f>
        <v>Μαδαγασκάρη</v>
      </c>
      <c r="L143" s="14" t="str">
        <f ca="1">IFERROR(__xludf.DUMMYFUNCTION("""COMPUTED_VALUE"""),"ΜΑΔΑΓΑΣΚΑΡΗ")</f>
        <v>ΜΑΔΑΓΑΣΚΑΡΗ</v>
      </c>
      <c r="M143" s="14" t="str">
        <f ca="1">IFERROR(__xludf.DUMMYFUNCTION("""COMPUTED_VALUE"""),"Madagaskar")</f>
        <v>Madagaskar</v>
      </c>
      <c r="N143" s="14" t="str">
        <f ca="1">IFERROR(__xludf.DUMMYFUNCTION("""COMPUTED_VALUE"""),"Madagaszkár")</f>
        <v>Madagaszkár</v>
      </c>
      <c r="O143" s="14" t="str">
        <f ca="1">IFERROR(__xludf.DUMMYFUNCTION("""COMPUTED_VALUE"""),"Madagaskar")</f>
        <v>Madagaskar</v>
      </c>
      <c r="P143" s="14" t="str">
        <f ca="1">IFERROR(__xludf.DUMMYFUNCTION("""COMPUTED_VALUE"""),"Madagascar")</f>
        <v>Madagascar</v>
      </c>
      <c r="Q143" s="14" t="str">
        <f ca="1">IFERROR(__xludf.DUMMYFUNCTION("""COMPUTED_VALUE"""),"마다가스카르")</f>
        <v>마다가스카르</v>
      </c>
      <c r="R143" s="14" t="str">
        <f ca="1">IFERROR(__xludf.DUMMYFUNCTION("""COMPUTED_VALUE"""),"Madagaskar")</f>
        <v>Madagaskar</v>
      </c>
      <c r="S143" s="14" t="str">
        <f ca="1">IFERROR(__xludf.DUMMYFUNCTION("""COMPUTED_VALUE"""),"Madagáscar")</f>
        <v>Madagáscar</v>
      </c>
      <c r="T143" s="14" t="str">
        <f ca="1">IFERROR(__xludf.DUMMYFUNCTION("""COMPUTED_VALUE"""),"Madagascar")</f>
        <v>Madagascar</v>
      </c>
      <c r="U143" s="14" t="str">
        <f ca="1">IFERROR(__xludf.DUMMYFUNCTION("""COMPUTED_VALUE"""),"Madagaskar")</f>
        <v>Madagaskar</v>
      </c>
      <c r="V143" s="14" t="str">
        <f ca="1">IFERROR(__xludf.DUMMYFUNCTION("""COMPUTED_VALUE"""),"Мадагаскар")</f>
        <v>Мадагаскар</v>
      </c>
      <c r="W143" s="14" t="str">
        <f ca="1">IFERROR(__xludf.DUMMYFUNCTION("""COMPUTED_VALUE"""),"Madagaskar")</f>
        <v>Madagaskar</v>
      </c>
      <c r="X143" s="14" t="str">
        <f ca="1">IFERROR(__xludf.DUMMYFUNCTION("""COMPUTED_VALUE"""),"Madagaskar")</f>
        <v>Madagaskar</v>
      </c>
      <c r="Y143" s="14" t="str">
        <f ca="1">IFERROR(__xludf.DUMMYFUNCTION("""COMPUTED_VALUE"""),"Madagaskar")</f>
        <v>Madagaskar</v>
      </c>
      <c r="Z143" s="14" t="str">
        <f ca="1">IFERROR(__xludf.DUMMYFUNCTION("""COMPUTED_VALUE"""),"มาดากัสการ์")</f>
        <v>มาดากัสการ์</v>
      </c>
      <c r="AA143" s="14" t="str">
        <f ca="1">IFERROR(__xludf.DUMMYFUNCTION("""COMPUTED_VALUE"""),"Madagaskar")</f>
        <v>Madagaskar</v>
      </c>
      <c r="AB143" s="14" t="str">
        <f ca="1">IFERROR(__xludf.DUMMYFUNCTION("""COMPUTED_VALUE"""),"MADAGASKAR")</f>
        <v>MADAGASKAR</v>
      </c>
      <c r="AC143" s="14" t="str">
        <f ca="1">IFERROR(__xludf.DUMMYFUNCTION("""COMPUTED_VALUE"""),"Мадагаскар")</f>
        <v>Мадагаскар</v>
      </c>
      <c r="AD143" s="14" t="str">
        <f ca="1">IFERROR(__xludf.DUMMYFUNCTION("""COMPUTED_VALUE"""),"Madagascar")</f>
        <v>Madagascar</v>
      </c>
      <c r="AE143" s="14" t="str">
        <f ca="1">IFERROR(__xludf.DUMMYFUNCTION("""COMPUTED_VALUE"""),"Мадагаскар")</f>
        <v>Мадагаскар</v>
      </c>
      <c r="AF143" s="14"/>
    </row>
    <row r="144" spans="1:32" ht="13" x14ac:dyDescent="0.15">
      <c r="A144" s="14" t="str">
        <f ca="1">IFERROR(__xludf.DUMMYFUNCTION("""COMPUTED_VALUE"""),"MH")</f>
        <v>MH</v>
      </c>
      <c r="B144" s="14" t="str">
        <f ca="1">IFERROR(__xludf.DUMMYFUNCTION("""COMPUTED_VALUE"""),"Marshall Islands")</f>
        <v>Marshall Islands</v>
      </c>
      <c r="C144" s="14" t="str">
        <f ca="1">IFERROR(__xludf.DUMMYFUNCTION("""COMPUTED_VALUE"""),"جزر المارشال")</f>
        <v>جزر المارشال</v>
      </c>
      <c r="D144" s="14" t="str">
        <f ca="1">IFERROR(__xludf.DUMMYFUNCTION("""COMPUTED_VALUE"""),"Маршалови острови")</f>
        <v>Маршалови острови</v>
      </c>
      <c r="E144" s="14" t="str">
        <f ca="1">IFERROR(__xludf.DUMMYFUNCTION("""COMPUTED_VALUE"""),"Marshall, Ilhas")</f>
        <v>Marshall, Ilhas</v>
      </c>
      <c r="F144" s="14" t="str">
        <f ca="1">IFERROR(__xludf.DUMMYFUNCTION("""COMPUTED_VALUE"""),"Маршалавы Астравы")</f>
        <v>Маршалавы Астравы</v>
      </c>
      <c r="G144" s="14" t="str">
        <f ca="1">IFERROR(__xludf.DUMMYFUNCTION("""COMPUTED_VALUE"""),"Marshallovy ostrovy")</f>
        <v>Marshallovy ostrovy</v>
      </c>
      <c r="H144" s="14" t="str">
        <f ca="1">IFERROR(__xludf.DUMMYFUNCTION("""COMPUTED_VALUE"""),"Marshallinseln")</f>
        <v>Marshallinseln</v>
      </c>
      <c r="I144" s="14" t="str">
        <f ca="1">IFERROR(__xludf.DUMMYFUNCTION("""COMPUTED_VALUE"""),"Marshall, (las) Islas")</f>
        <v>Marshall, (las) Islas</v>
      </c>
      <c r="J144" s="14" t="str">
        <f ca="1">IFERROR(__xludf.DUMMYFUNCTION("""COMPUTED_VALUE"""),"Marshallinsaaret")</f>
        <v>Marshallinsaaret</v>
      </c>
      <c r="K144" s="14" t="str">
        <f ca="1">IFERROR(__xludf.DUMMYFUNCTION("""COMPUTED_VALUE"""),"Νήσοι Μάρσαλ")</f>
        <v>Νήσοι Μάρσαλ</v>
      </c>
      <c r="L144" s="14" t="str">
        <f ca="1">IFERROR(__xludf.DUMMYFUNCTION("""COMPUTED_VALUE"""),"ΝΗΣΟΙ ΜΑΡΣΑΛ")</f>
        <v>ΝΗΣΟΙ ΜΑΡΣΑΛ</v>
      </c>
      <c r="M144" s="14" t="str">
        <f ca="1">IFERROR(__xludf.DUMMYFUNCTION("""COMPUTED_VALUE"""),"Maršalovi otoci")</f>
        <v>Maršalovi otoci</v>
      </c>
      <c r="N144" s="14" t="str">
        <f ca="1">IFERROR(__xludf.DUMMYFUNCTION("""COMPUTED_VALUE"""),"Marshall-szigetek")</f>
        <v>Marshall-szigetek</v>
      </c>
      <c r="O144" s="14" t="str">
        <f ca="1">IFERROR(__xludf.DUMMYFUNCTION("""COMPUTED_VALUE"""),"Marshall, Kepulauan")</f>
        <v>Marshall, Kepulauan</v>
      </c>
      <c r="P144" s="14" t="str">
        <f ca="1">IFERROR(__xludf.DUMMYFUNCTION("""COMPUTED_VALUE"""),"Isole Marshall")</f>
        <v>Isole Marshall</v>
      </c>
      <c r="Q144" s="14" t="str">
        <f ca="1">IFERROR(__xludf.DUMMYFUNCTION("""COMPUTED_VALUE"""),"마셜 제도")</f>
        <v>마셜 제도</v>
      </c>
      <c r="R144" s="14" t="str">
        <f ca="1">IFERROR(__xludf.DUMMYFUNCTION("""COMPUTED_VALUE"""),"Wyspy Marshalla")</f>
        <v>Wyspy Marshalla</v>
      </c>
      <c r="S144" s="14" t="str">
        <f ca="1">IFERROR(__xludf.DUMMYFUNCTION("""COMPUTED_VALUE"""),"Marshall, Ilhas")</f>
        <v>Marshall, Ilhas</v>
      </c>
      <c r="T144" s="14" t="str">
        <f ca="1">IFERROR(__xludf.DUMMYFUNCTION("""COMPUTED_VALUE"""),"Insulele Marshall")</f>
        <v>Insulele Marshall</v>
      </c>
      <c r="U144" s="14" t="str">
        <f ca="1">IFERROR(__xludf.DUMMYFUNCTION("""COMPUTED_VALUE"""),"Maršalska Ostrva")</f>
        <v>Maršalska Ostrva</v>
      </c>
      <c r="V144" s="14" t="str">
        <f ca="1">IFERROR(__xludf.DUMMYFUNCTION("""COMPUTED_VALUE"""),"Маршалловы Острова")</f>
        <v>Маршалловы Острова</v>
      </c>
      <c r="W144" s="14" t="str">
        <f ca="1">IFERROR(__xludf.DUMMYFUNCTION("""COMPUTED_VALUE"""),"Marshallöarna")</f>
        <v>Marshallöarna</v>
      </c>
      <c r="X144" s="14" t="str">
        <f ca="1">IFERROR(__xludf.DUMMYFUNCTION("""COMPUTED_VALUE"""),"Marshallovi otoki")</f>
        <v>Marshallovi otoki</v>
      </c>
      <c r="Y144" s="14" t="str">
        <f ca="1">IFERROR(__xludf.DUMMYFUNCTION("""COMPUTED_VALUE"""),"Marshallove ostrovy")</f>
        <v>Marshallove ostrovy</v>
      </c>
      <c r="Z144" s="14" t="str">
        <f ca="1">IFERROR(__xludf.DUMMYFUNCTION("""COMPUTED_VALUE"""),"หมู่เกาะมาร์แชลล์")</f>
        <v>หมู่เกาะมาร์แชลล์</v>
      </c>
      <c r="AA144" s="14" t="str">
        <f ca="1">IFERROR(__xludf.DUMMYFUNCTION("""COMPUTED_VALUE"""),"Marşal Adaları")</f>
        <v>Marşal Adaları</v>
      </c>
      <c r="AB144" s="14" t="str">
        <f ca="1">IFERROR(__xludf.DUMMYFUNCTION("""COMPUTED_VALUE"""),"MARŞAL ADALARI")</f>
        <v>MARŞAL ADALARI</v>
      </c>
      <c r="AC144" s="14" t="str">
        <f ca="1">IFERROR(__xludf.DUMMYFUNCTION("""COMPUTED_VALUE"""),"Маршаллові Острови")</f>
        <v>Маршаллові Острови</v>
      </c>
      <c r="AD144" s="14" t="str">
        <f ca="1">IFERROR(__xludf.DUMMYFUNCTION("""COMPUTED_VALUE"""),"Đảo Marshall")</f>
        <v>Đảo Marshall</v>
      </c>
      <c r="AE144" s="14" t="str">
        <f ca="1">IFERROR(__xludf.DUMMYFUNCTION("""COMPUTED_VALUE"""),"Маршалл аралдары")</f>
        <v>Маршалл аралдары</v>
      </c>
      <c r="AF144" s="14"/>
    </row>
    <row r="145" spans="1:32" ht="13" x14ac:dyDescent="0.15">
      <c r="A145" s="14" t="str">
        <f ca="1">IFERROR(__xludf.DUMMYFUNCTION("""COMPUTED_VALUE"""),"MK")</f>
        <v>MK</v>
      </c>
      <c r="B145" s="14" t="str">
        <f ca="1">IFERROR(__xludf.DUMMYFUNCTION("""COMPUTED_VALUE"""),"North Macedonia")</f>
        <v>North Macedonia</v>
      </c>
      <c r="C145" s="14" t="str">
        <f ca="1">IFERROR(__xludf.DUMMYFUNCTION("""COMPUTED_VALUE"""),"مقدونيا")</f>
        <v>مقدونيا</v>
      </c>
      <c r="D145" s="14" t="str">
        <f ca="1">IFERROR(__xludf.DUMMYFUNCTION("""COMPUTED_VALUE"""),"Република Македония")</f>
        <v>Република Македония</v>
      </c>
      <c r="E145" s="14" t="str">
        <f ca="1">IFERROR(__xludf.DUMMYFUNCTION("""COMPUTED_VALUE"""),"Macedônia do Norte")</f>
        <v>Macedônia do Norte</v>
      </c>
      <c r="F145" s="14" t="str">
        <f ca="1">IFERROR(__xludf.DUMMYFUNCTION("""COMPUTED_VALUE"""),"Паўночная Македонія")</f>
        <v>Паўночная Македонія</v>
      </c>
      <c r="G145" s="14" t="str">
        <f ca="1">IFERROR(__xludf.DUMMYFUNCTION("""COMPUTED_VALUE"""),"Severní Makedonie")</f>
        <v>Severní Makedonie</v>
      </c>
      <c r="H145" s="14" t="str">
        <f ca="1">IFERROR(__xludf.DUMMYFUNCTION("""COMPUTED_VALUE"""),"Nordmazedonien")</f>
        <v>Nordmazedonien</v>
      </c>
      <c r="I145" s="14" t="str">
        <f ca="1">IFERROR(__xludf.DUMMYFUNCTION("""COMPUTED_VALUE"""),"Macedonia del Norte")</f>
        <v>Macedonia del Norte</v>
      </c>
      <c r="J145" s="14" t="str">
        <f ca="1">IFERROR(__xludf.DUMMYFUNCTION("""COMPUTED_VALUE"""),"Pohjois-Makedonia")</f>
        <v>Pohjois-Makedonia</v>
      </c>
      <c r="K145" s="14" t="str">
        <f ca="1">IFERROR(__xludf.DUMMYFUNCTION("""COMPUTED_VALUE"""),"Βόρεια Μακεδονία")</f>
        <v>Βόρεια Μακεδονία</v>
      </c>
      <c r="L145" s="14" t="str">
        <f ca="1">IFERROR(__xludf.DUMMYFUNCTION("""COMPUTED_VALUE"""),"ΒΟΡΕΙΑ ΜΑΚΕΔΟΝΙΑ")</f>
        <v>ΒΟΡΕΙΑ ΜΑΚΕΔΟΝΙΑ</v>
      </c>
      <c r="M145" s="14" t="str">
        <f ca="1">IFERROR(__xludf.DUMMYFUNCTION("""COMPUTED_VALUE"""),"Makedonija")</f>
        <v>Makedonija</v>
      </c>
      <c r="N145" s="14" t="str">
        <f ca="1">IFERROR(__xludf.DUMMYFUNCTION("""COMPUTED_VALUE"""),"Észak-Macedónia")</f>
        <v>Észak-Macedónia</v>
      </c>
      <c r="O145" s="14" t="str">
        <f ca="1">IFERROR(__xludf.DUMMYFUNCTION("""COMPUTED_VALUE"""),"Makedonia")</f>
        <v>Makedonia</v>
      </c>
      <c r="P145" s="14" t="str">
        <f ca="1">IFERROR(__xludf.DUMMYFUNCTION("""COMPUTED_VALUE"""),"Macedonia del Nord")</f>
        <v>Macedonia del Nord</v>
      </c>
      <c r="Q145" s="14" t="str">
        <f ca="1">IFERROR(__xludf.DUMMYFUNCTION("""COMPUTED_VALUE"""),"마케도니아 공화국")</f>
        <v>마케도니아 공화국</v>
      </c>
      <c r="R145" s="14" t="str">
        <f ca="1">IFERROR(__xludf.DUMMYFUNCTION("""COMPUTED_VALUE"""),"Macedonia Północna")</f>
        <v>Macedonia Północna</v>
      </c>
      <c r="S145" s="14" t="str">
        <f ca="1">IFERROR(__xludf.DUMMYFUNCTION("""COMPUTED_VALUE"""),"Macedónia do Norte")</f>
        <v>Macedónia do Norte</v>
      </c>
      <c r="T145" s="14" t="str">
        <f ca="1">IFERROR(__xludf.DUMMYFUNCTION("""COMPUTED_VALUE"""),"Macedonia de Nord")</f>
        <v>Macedonia de Nord</v>
      </c>
      <c r="U145" s="14" t="str">
        <f ca="1">IFERROR(__xludf.DUMMYFUNCTION("""COMPUTED_VALUE"""),"Makedonija")</f>
        <v>Makedonija</v>
      </c>
      <c r="V145" s="14" t="str">
        <f ca="1">IFERROR(__xludf.DUMMYFUNCTION("""COMPUTED_VALUE"""),"Северная Македония")</f>
        <v>Северная Македония</v>
      </c>
      <c r="W145" s="14" t="str">
        <f ca="1">IFERROR(__xludf.DUMMYFUNCTION("""COMPUTED_VALUE"""),"Nordmakedonien")</f>
        <v>Nordmakedonien</v>
      </c>
      <c r="X145" s="14" t="str">
        <f ca="1">IFERROR(__xludf.DUMMYFUNCTION("""COMPUTED_VALUE"""),"Makedonija")</f>
        <v>Makedonija</v>
      </c>
      <c r="Y145" s="14" t="str">
        <f ca="1">IFERROR(__xludf.DUMMYFUNCTION("""COMPUTED_VALUE"""),"Severné Macedónsko")</f>
        <v>Severné Macedónsko</v>
      </c>
      <c r="Z145" s="14" t="str">
        <f ca="1">IFERROR(__xludf.DUMMYFUNCTION("""COMPUTED_VALUE"""),"มาซิโดเนีย")</f>
        <v>มาซิโดเนีย</v>
      </c>
      <c r="AA145" s="14" t="str">
        <f ca="1">IFERROR(__xludf.DUMMYFUNCTION("""COMPUTED_VALUE"""),"Kuzey Makedonya")</f>
        <v>Kuzey Makedonya</v>
      </c>
      <c r="AB145" s="14" t="str">
        <f ca="1">IFERROR(__xludf.DUMMYFUNCTION("""COMPUTED_VALUE"""),"KUZEY MAKEDONYA")</f>
        <v>KUZEY MAKEDONYA</v>
      </c>
      <c r="AC145" s="14" t="str">
        <f ca="1">IFERROR(__xludf.DUMMYFUNCTION("""COMPUTED_VALUE"""),"Північна Македонія")</f>
        <v>Північна Македонія</v>
      </c>
      <c r="AD145" s="14" t="str">
        <f ca="1">IFERROR(__xludf.DUMMYFUNCTION("""COMPUTED_VALUE"""),"Macedonia")</f>
        <v>Macedonia</v>
      </c>
      <c r="AE145" s="14" t="str">
        <f ca="1">IFERROR(__xludf.DUMMYFUNCTION("""COMPUTED_VALUE"""),"Солтүстік Македония")</f>
        <v>Солтүстік Македония</v>
      </c>
      <c r="AF145" s="14"/>
    </row>
    <row r="146" spans="1:32" ht="13" x14ac:dyDescent="0.15">
      <c r="A146" s="14" t="str">
        <f ca="1">IFERROR(__xludf.DUMMYFUNCTION("""COMPUTED_VALUE"""),"ML")</f>
        <v>ML</v>
      </c>
      <c r="B146" s="14" t="str">
        <f ca="1">IFERROR(__xludf.DUMMYFUNCTION("""COMPUTED_VALUE"""),"Mali")</f>
        <v>Mali</v>
      </c>
      <c r="C146" s="14" t="str">
        <f ca="1">IFERROR(__xludf.DUMMYFUNCTION("""COMPUTED_VALUE"""),"مالي")</f>
        <v>مالي</v>
      </c>
      <c r="D146" s="14" t="str">
        <f ca="1">IFERROR(__xludf.DUMMYFUNCTION("""COMPUTED_VALUE"""),"Мали")</f>
        <v>Мали</v>
      </c>
      <c r="E146" s="14" t="str">
        <f ca="1">IFERROR(__xludf.DUMMYFUNCTION("""COMPUTED_VALUE"""),"Mali")</f>
        <v>Mali</v>
      </c>
      <c r="F146" s="14" t="str">
        <f ca="1">IFERROR(__xludf.DUMMYFUNCTION("""COMPUTED_VALUE"""),"Малі")</f>
        <v>Малі</v>
      </c>
      <c r="G146" s="14" t="str">
        <f ca="1">IFERROR(__xludf.DUMMYFUNCTION("""COMPUTED_VALUE"""),"Mali")</f>
        <v>Mali</v>
      </c>
      <c r="H146" s="14" t="str">
        <f ca="1">IFERROR(__xludf.DUMMYFUNCTION("""COMPUTED_VALUE"""),"Mali")</f>
        <v>Mali</v>
      </c>
      <c r="I146" s="14" t="str">
        <f ca="1">IFERROR(__xludf.DUMMYFUNCTION("""COMPUTED_VALUE"""),"Malí")</f>
        <v>Malí</v>
      </c>
      <c r="J146" s="14" t="str">
        <f ca="1">IFERROR(__xludf.DUMMYFUNCTION("""COMPUTED_VALUE"""),"Mali")</f>
        <v>Mali</v>
      </c>
      <c r="K146" s="14" t="str">
        <f ca="1">IFERROR(__xludf.DUMMYFUNCTION("""COMPUTED_VALUE"""),"Μάλι")</f>
        <v>Μάλι</v>
      </c>
      <c r="L146" s="14" t="str">
        <f ca="1">IFERROR(__xludf.DUMMYFUNCTION("""COMPUTED_VALUE"""),"ΜΑΛΙ")</f>
        <v>ΜΑΛΙ</v>
      </c>
      <c r="M146" s="14" t="str">
        <f ca="1">IFERROR(__xludf.DUMMYFUNCTION("""COMPUTED_VALUE"""),"Mali")</f>
        <v>Mali</v>
      </c>
      <c r="N146" s="14" t="str">
        <f ca="1">IFERROR(__xludf.DUMMYFUNCTION("""COMPUTED_VALUE"""),"Mali")</f>
        <v>Mali</v>
      </c>
      <c r="O146" s="14" t="str">
        <f ca="1">IFERROR(__xludf.DUMMYFUNCTION("""COMPUTED_VALUE"""),"Mali")</f>
        <v>Mali</v>
      </c>
      <c r="P146" s="14" t="str">
        <f ca="1">IFERROR(__xludf.DUMMYFUNCTION("""COMPUTED_VALUE"""),"Mali")</f>
        <v>Mali</v>
      </c>
      <c r="Q146" s="14" t="str">
        <f ca="1">IFERROR(__xludf.DUMMYFUNCTION("""COMPUTED_VALUE"""),"말리")</f>
        <v>말리</v>
      </c>
      <c r="R146" s="14" t="str">
        <f ca="1">IFERROR(__xludf.DUMMYFUNCTION("""COMPUTED_VALUE"""),"Mali")</f>
        <v>Mali</v>
      </c>
      <c r="S146" s="14" t="str">
        <f ca="1">IFERROR(__xludf.DUMMYFUNCTION("""COMPUTED_VALUE"""),"Mali")</f>
        <v>Mali</v>
      </c>
      <c r="T146" s="14" t="str">
        <f ca="1">IFERROR(__xludf.DUMMYFUNCTION("""COMPUTED_VALUE"""),"Mali")</f>
        <v>Mali</v>
      </c>
      <c r="U146" s="14" t="str">
        <f ca="1">IFERROR(__xludf.DUMMYFUNCTION("""COMPUTED_VALUE"""),"Mali")</f>
        <v>Mali</v>
      </c>
      <c r="V146" s="14" t="str">
        <f ca="1">IFERROR(__xludf.DUMMYFUNCTION("""COMPUTED_VALUE"""),"Мали")</f>
        <v>Мали</v>
      </c>
      <c r="W146" s="14" t="str">
        <f ca="1">IFERROR(__xludf.DUMMYFUNCTION("""COMPUTED_VALUE"""),"Mali")</f>
        <v>Mali</v>
      </c>
      <c r="X146" s="14" t="str">
        <f ca="1">IFERROR(__xludf.DUMMYFUNCTION("""COMPUTED_VALUE"""),"Mali")</f>
        <v>Mali</v>
      </c>
      <c r="Y146" s="14" t="str">
        <f ca="1">IFERROR(__xludf.DUMMYFUNCTION("""COMPUTED_VALUE"""),"Mali")</f>
        <v>Mali</v>
      </c>
      <c r="Z146" s="14" t="str">
        <f ca="1">IFERROR(__xludf.DUMMYFUNCTION("""COMPUTED_VALUE"""),"มาลี")</f>
        <v>มาลี</v>
      </c>
      <c r="AA146" s="14" t="str">
        <f ca="1">IFERROR(__xludf.DUMMYFUNCTION("""COMPUTED_VALUE"""),"Mali")</f>
        <v>Mali</v>
      </c>
      <c r="AB146" s="14" t="str">
        <f ca="1">IFERROR(__xludf.DUMMYFUNCTION("""COMPUTED_VALUE"""),"MALİ")</f>
        <v>MALİ</v>
      </c>
      <c r="AC146" s="14" t="str">
        <f ca="1">IFERROR(__xludf.DUMMYFUNCTION("""COMPUTED_VALUE"""),"Малі")</f>
        <v>Малі</v>
      </c>
      <c r="AD146" s="14" t="str">
        <f ca="1">IFERROR(__xludf.DUMMYFUNCTION("""COMPUTED_VALUE"""),"Mali")</f>
        <v>Mali</v>
      </c>
      <c r="AE146" s="14" t="str">
        <f ca="1">IFERROR(__xludf.DUMMYFUNCTION("""COMPUTED_VALUE"""),"Мали")</f>
        <v>Мали</v>
      </c>
      <c r="AF146" s="14"/>
    </row>
    <row r="147" spans="1:32" ht="13" x14ac:dyDescent="0.15">
      <c r="A147" s="14" t="str">
        <f ca="1">IFERROR(__xludf.DUMMYFUNCTION("""COMPUTED_VALUE"""),"MM")</f>
        <v>MM</v>
      </c>
      <c r="B147" s="14" t="str">
        <f ca="1">IFERROR(__xludf.DUMMYFUNCTION("""COMPUTED_VALUE"""),"Myanmar")</f>
        <v>Myanmar</v>
      </c>
      <c r="C147" s="14" t="str">
        <f ca="1">IFERROR(__xludf.DUMMYFUNCTION("""COMPUTED_VALUE"""),"ميانمار")</f>
        <v>ميانمار</v>
      </c>
      <c r="D147" s="14" t="str">
        <f ca="1">IFERROR(__xludf.DUMMYFUNCTION("""COMPUTED_VALUE"""),"Мианмар")</f>
        <v>Мианмар</v>
      </c>
      <c r="E147" s="14" t="str">
        <f ca="1">IFERROR(__xludf.DUMMYFUNCTION("""COMPUTED_VALUE"""),"Myanmar (antiga Birmânia)")</f>
        <v>Myanmar (antiga Birmânia)</v>
      </c>
      <c r="F147" s="14" t="str">
        <f ca="1">IFERROR(__xludf.DUMMYFUNCTION("""COMPUTED_VALUE"""),"М’янма")</f>
        <v>М’янма</v>
      </c>
      <c r="G147" s="14" t="str">
        <f ca="1">IFERROR(__xludf.DUMMYFUNCTION("""COMPUTED_VALUE"""),"Myanmar")</f>
        <v>Myanmar</v>
      </c>
      <c r="H147" s="14" t="str">
        <f ca="1">IFERROR(__xludf.DUMMYFUNCTION("""COMPUTED_VALUE"""),"Myanmar (Burma)")</f>
        <v>Myanmar (Burma)</v>
      </c>
      <c r="I147" s="14" t="str">
        <f ca="1">IFERROR(__xludf.DUMMYFUNCTION("""COMPUTED_VALUE"""),"Myanmar")</f>
        <v>Myanmar</v>
      </c>
      <c r="J147" s="14" t="str">
        <f ca="1">IFERROR(__xludf.DUMMYFUNCTION("""COMPUTED_VALUE"""),"Myanmar")</f>
        <v>Myanmar</v>
      </c>
      <c r="K147" s="14" t="str">
        <f ca="1">IFERROR(__xludf.DUMMYFUNCTION("""COMPUTED_VALUE"""),"Μιανμάρ (Βιρμανία)")</f>
        <v>Μιανμάρ (Βιρμανία)</v>
      </c>
      <c r="L147" s="14" t="str">
        <f ca="1">IFERROR(__xludf.DUMMYFUNCTION("""COMPUTED_VALUE"""),"ΜΙΑΝΜΑΡ (ΒΙΡΜΑΝΙΑ)")</f>
        <v>ΜΙΑΝΜΑΡ (ΒΙΡΜΑΝΙΑ)</v>
      </c>
      <c r="M147" s="14" t="str">
        <f ca="1">IFERROR(__xludf.DUMMYFUNCTION("""COMPUTED_VALUE"""),"Mijanmar (Barma)")</f>
        <v>Mijanmar (Barma)</v>
      </c>
      <c r="N147" s="14" t="str">
        <f ca="1">IFERROR(__xludf.DUMMYFUNCTION("""COMPUTED_VALUE"""),"Mianmar")</f>
        <v>Mianmar</v>
      </c>
      <c r="O147" s="14" t="str">
        <f ca="1">IFERROR(__xludf.DUMMYFUNCTION("""COMPUTED_VALUE"""),"Myanmar")</f>
        <v>Myanmar</v>
      </c>
      <c r="P147" s="14" t="str">
        <f ca="1">IFERROR(__xludf.DUMMYFUNCTION("""COMPUTED_VALUE"""),"Birmania")</f>
        <v>Birmania</v>
      </c>
      <c r="Q147" s="14" t="str">
        <f ca="1">IFERROR(__xludf.DUMMYFUNCTION("""COMPUTED_VALUE"""),"미얀마")</f>
        <v>미얀마</v>
      </c>
      <c r="R147" s="14" t="str">
        <f ca="1">IFERROR(__xludf.DUMMYFUNCTION("""COMPUTED_VALUE"""),"Mjanma")</f>
        <v>Mjanma</v>
      </c>
      <c r="S147" s="14" t="str">
        <f ca="1">IFERROR(__xludf.DUMMYFUNCTION("""COMPUTED_VALUE"""),"Myanmar (antiga Birmânia)")</f>
        <v>Myanmar (antiga Birmânia)</v>
      </c>
      <c r="T147" s="14" t="str">
        <f ca="1">IFERROR(__xludf.DUMMYFUNCTION("""COMPUTED_VALUE"""),"Myanmar")</f>
        <v>Myanmar</v>
      </c>
      <c r="U147" s="14" t="str">
        <f ca="1">IFERROR(__xludf.DUMMYFUNCTION("""COMPUTED_VALUE"""),"Mianmar")</f>
        <v>Mianmar</v>
      </c>
      <c r="V147" s="14" t="str">
        <f ca="1">IFERROR(__xludf.DUMMYFUNCTION("""COMPUTED_VALUE"""),"Мьянма")</f>
        <v>Мьянма</v>
      </c>
      <c r="W147" s="14" t="str">
        <f ca="1">IFERROR(__xludf.DUMMYFUNCTION("""COMPUTED_VALUE"""),"Burma")</f>
        <v>Burma</v>
      </c>
      <c r="X147" s="14" t="str">
        <f ca="1">IFERROR(__xludf.DUMMYFUNCTION("""COMPUTED_VALUE"""),"Mjanmar")</f>
        <v>Mjanmar</v>
      </c>
      <c r="Y147" s="14" t="str">
        <f ca="1">IFERROR(__xludf.DUMMYFUNCTION("""COMPUTED_VALUE"""),"Mjanmarsko")</f>
        <v>Mjanmarsko</v>
      </c>
      <c r="Z147" s="14" t="str">
        <f ca="1">IFERROR(__xludf.DUMMYFUNCTION("""COMPUTED_VALUE"""),"พม่า")</f>
        <v>พม่า</v>
      </c>
      <c r="AA147" s="14"/>
      <c r="AB147" s="14"/>
      <c r="AC147" s="14" t="str">
        <f ca="1">IFERROR(__xludf.DUMMYFUNCTION("""COMPUTED_VALUE"""),"М’янма")</f>
        <v>М’янма</v>
      </c>
      <c r="AD147" s="14" t="str">
        <f ca="1">IFERROR(__xludf.DUMMYFUNCTION("""COMPUTED_VALUE"""),"Myanma (Burma)")</f>
        <v>Myanma (Burma)</v>
      </c>
      <c r="AE147" s="14" t="str">
        <f ca="1">IFERROR(__xludf.DUMMYFUNCTION("""COMPUTED_VALUE"""),"Мьянма")</f>
        <v>Мьянма</v>
      </c>
      <c r="AF147" s="14"/>
    </row>
    <row r="148" spans="1:32" ht="13" x14ac:dyDescent="0.15">
      <c r="A148" s="14" t="str">
        <f ca="1">IFERROR(__xludf.DUMMYFUNCTION("""COMPUTED_VALUE"""),"MN")</f>
        <v>MN</v>
      </c>
      <c r="B148" s="14" t="str">
        <f ca="1">IFERROR(__xludf.DUMMYFUNCTION("""COMPUTED_VALUE"""),"Mongolia")</f>
        <v>Mongolia</v>
      </c>
      <c r="C148" s="14" t="str">
        <f ca="1">IFERROR(__xludf.DUMMYFUNCTION("""COMPUTED_VALUE"""),"منغوليا")</f>
        <v>منغوليا</v>
      </c>
      <c r="D148" s="14" t="str">
        <f ca="1">IFERROR(__xludf.DUMMYFUNCTION("""COMPUTED_VALUE"""),"Монголия")</f>
        <v>Монголия</v>
      </c>
      <c r="E148" s="14" t="str">
        <f ca="1">IFERROR(__xludf.DUMMYFUNCTION("""COMPUTED_VALUE"""),"Mongólia")</f>
        <v>Mongólia</v>
      </c>
      <c r="F148" s="14" t="str">
        <f ca="1">IFERROR(__xludf.DUMMYFUNCTION("""COMPUTED_VALUE"""),"Манголія")</f>
        <v>Манголія</v>
      </c>
      <c r="G148" s="14" t="str">
        <f ca="1">IFERROR(__xludf.DUMMYFUNCTION("""COMPUTED_VALUE"""),"Mongolsko")</f>
        <v>Mongolsko</v>
      </c>
      <c r="H148" s="14" t="str">
        <f ca="1">IFERROR(__xludf.DUMMYFUNCTION("""COMPUTED_VALUE"""),"Mongolei")</f>
        <v>Mongolei</v>
      </c>
      <c r="I148" s="14" t="str">
        <f ca="1">IFERROR(__xludf.DUMMYFUNCTION("""COMPUTED_VALUE"""),"Mongolia")</f>
        <v>Mongolia</v>
      </c>
      <c r="J148" s="14" t="str">
        <f ca="1">IFERROR(__xludf.DUMMYFUNCTION("""COMPUTED_VALUE"""),"Mongolia")</f>
        <v>Mongolia</v>
      </c>
      <c r="K148" s="14" t="str">
        <f ca="1">IFERROR(__xludf.DUMMYFUNCTION("""COMPUTED_VALUE"""),"Μογγολία")</f>
        <v>Μογγολία</v>
      </c>
      <c r="L148" s="14" t="str">
        <f ca="1">IFERROR(__xludf.DUMMYFUNCTION("""COMPUTED_VALUE"""),"ΜΟΓΓΟΛΙΑ")</f>
        <v>ΜΟΓΓΟΛΙΑ</v>
      </c>
      <c r="M148" s="14" t="str">
        <f ca="1">IFERROR(__xludf.DUMMYFUNCTION("""COMPUTED_VALUE"""),"Mongolija")</f>
        <v>Mongolija</v>
      </c>
      <c r="N148" s="14" t="str">
        <f ca="1">IFERROR(__xludf.DUMMYFUNCTION("""COMPUTED_VALUE"""),"Mongólia")</f>
        <v>Mongólia</v>
      </c>
      <c r="O148" s="14" t="str">
        <f ca="1">IFERROR(__xludf.DUMMYFUNCTION("""COMPUTED_VALUE"""),"Mongolia")</f>
        <v>Mongolia</v>
      </c>
      <c r="P148" s="14" t="str">
        <f ca="1">IFERROR(__xludf.DUMMYFUNCTION("""COMPUTED_VALUE"""),"Mongolia")</f>
        <v>Mongolia</v>
      </c>
      <c r="Q148" s="14" t="str">
        <f ca="1">IFERROR(__xludf.DUMMYFUNCTION("""COMPUTED_VALUE"""),"몽골")</f>
        <v>몽골</v>
      </c>
      <c r="R148" s="14" t="str">
        <f ca="1">IFERROR(__xludf.DUMMYFUNCTION("""COMPUTED_VALUE"""),"Mongolia")</f>
        <v>Mongolia</v>
      </c>
      <c r="S148" s="14" t="str">
        <f ca="1">IFERROR(__xludf.DUMMYFUNCTION("""COMPUTED_VALUE"""),"Mongólia")</f>
        <v>Mongólia</v>
      </c>
      <c r="T148" s="14" t="str">
        <f ca="1">IFERROR(__xludf.DUMMYFUNCTION("""COMPUTED_VALUE"""),"Mongolia")</f>
        <v>Mongolia</v>
      </c>
      <c r="U148" s="14" t="str">
        <f ca="1">IFERROR(__xludf.DUMMYFUNCTION("""COMPUTED_VALUE"""),"Mongolija")</f>
        <v>Mongolija</v>
      </c>
      <c r="V148" s="14" t="str">
        <f ca="1">IFERROR(__xludf.DUMMYFUNCTION("""COMPUTED_VALUE"""),"Монголия")</f>
        <v>Монголия</v>
      </c>
      <c r="W148" s="14" t="str">
        <f ca="1">IFERROR(__xludf.DUMMYFUNCTION("""COMPUTED_VALUE"""),"Mongoliet")</f>
        <v>Mongoliet</v>
      </c>
      <c r="X148" s="14" t="str">
        <f ca="1">IFERROR(__xludf.DUMMYFUNCTION("""COMPUTED_VALUE"""),"Mongolija")</f>
        <v>Mongolija</v>
      </c>
      <c r="Y148" s="14" t="str">
        <f ca="1">IFERROR(__xludf.DUMMYFUNCTION("""COMPUTED_VALUE"""),"Mongolsko")</f>
        <v>Mongolsko</v>
      </c>
      <c r="Z148" s="14" t="str">
        <f ca="1">IFERROR(__xludf.DUMMYFUNCTION("""COMPUTED_VALUE"""),"มองโกเลีย")</f>
        <v>มองโกเลีย</v>
      </c>
      <c r="AA148" s="14" t="str">
        <f ca="1">IFERROR(__xludf.DUMMYFUNCTION("""COMPUTED_VALUE"""),"Moğolistan")</f>
        <v>Moğolistan</v>
      </c>
      <c r="AB148" s="14" t="str">
        <f ca="1">IFERROR(__xludf.DUMMYFUNCTION("""COMPUTED_VALUE"""),"MOĞOLİSTAN")</f>
        <v>MOĞOLİSTAN</v>
      </c>
      <c r="AC148" s="14" t="str">
        <f ca="1">IFERROR(__xludf.DUMMYFUNCTION("""COMPUTED_VALUE"""),"Монголія")</f>
        <v>Монголія</v>
      </c>
      <c r="AD148" s="14" t="str">
        <f ca="1">IFERROR(__xludf.DUMMYFUNCTION("""COMPUTED_VALUE"""),"Mông Cổ")</f>
        <v>Mông Cổ</v>
      </c>
      <c r="AE148" s="14" t="str">
        <f ca="1">IFERROR(__xludf.DUMMYFUNCTION("""COMPUTED_VALUE"""),"Моңғолия")</f>
        <v>Моңғолия</v>
      </c>
      <c r="AF148" s="14"/>
    </row>
    <row r="149" spans="1:32" ht="13" x14ac:dyDescent="0.15">
      <c r="A149" s="14" t="str">
        <f ca="1">IFERROR(__xludf.DUMMYFUNCTION("""COMPUTED_VALUE"""),"MO")</f>
        <v>MO</v>
      </c>
      <c r="B149" s="14" t="str">
        <f ca="1">IFERROR(__xludf.DUMMYFUNCTION("""COMPUTED_VALUE"""),"Macao")</f>
        <v>Macao</v>
      </c>
      <c r="C149" s="14" t="str">
        <f ca="1">IFERROR(__xludf.DUMMYFUNCTION("""COMPUTED_VALUE"""),"ماكاو الصينية")</f>
        <v>ماكاو الصينية</v>
      </c>
      <c r="D149" s="14" t="str">
        <f ca="1">IFERROR(__xludf.DUMMYFUNCTION("""COMPUTED_VALUE"""),"Макао")</f>
        <v>Макао</v>
      </c>
      <c r="E149" s="14" t="str">
        <f ca="1">IFERROR(__xludf.DUMMYFUNCTION("""COMPUTED_VALUE"""),"Macau")</f>
        <v>Macau</v>
      </c>
      <c r="F149" s="14" t="str">
        <f ca="1">IFERROR(__xludf.DUMMYFUNCTION("""COMPUTED_VALUE"""),"Макаа")</f>
        <v>Макаа</v>
      </c>
      <c r="G149" s="14" t="str">
        <f ca="1">IFERROR(__xludf.DUMMYFUNCTION("""COMPUTED_VALUE"""),"Macao")</f>
        <v>Macao</v>
      </c>
      <c r="H149" s="14" t="str">
        <f ca="1">IFERROR(__xludf.DUMMYFUNCTION("""COMPUTED_VALUE"""),"Macau")</f>
        <v>Macau</v>
      </c>
      <c r="I149" s="14" t="str">
        <f ca="1">IFERROR(__xludf.DUMMYFUNCTION("""COMPUTED_VALUE"""),"Macao")</f>
        <v>Macao</v>
      </c>
      <c r="J149" s="14" t="str">
        <f ca="1">IFERROR(__xludf.DUMMYFUNCTION("""COMPUTED_VALUE"""),"Macao")</f>
        <v>Macao</v>
      </c>
      <c r="K149" s="14" t="str">
        <f ca="1">IFERROR(__xludf.DUMMYFUNCTION("""COMPUTED_VALUE"""),"Μακάο")</f>
        <v>Μακάο</v>
      </c>
      <c r="L149" s="14" t="str">
        <f ca="1">IFERROR(__xludf.DUMMYFUNCTION("""COMPUTED_VALUE"""),"ΜΑΚΑΟ")</f>
        <v>ΜΑΚΑΟ</v>
      </c>
      <c r="M149" s="14" t="str">
        <f ca="1">IFERROR(__xludf.DUMMYFUNCTION("""COMPUTED_VALUE"""),"Makao")</f>
        <v>Makao</v>
      </c>
      <c r="N149" s="14" t="str">
        <f ca="1">IFERROR(__xludf.DUMMYFUNCTION("""COMPUTED_VALUE"""),"Makaó")</f>
        <v>Makaó</v>
      </c>
      <c r="O149" s="14" t="str">
        <f ca="1">IFERROR(__xludf.DUMMYFUNCTION("""COMPUTED_VALUE"""),"Makau")</f>
        <v>Makau</v>
      </c>
      <c r="P149" s="14" t="str">
        <f ca="1">IFERROR(__xludf.DUMMYFUNCTION("""COMPUTED_VALUE"""),"Macao")</f>
        <v>Macao</v>
      </c>
      <c r="Q149" s="14" t="str">
        <f ca="1">IFERROR(__xludf.DUMMYFUNCTION("""COMPUTED_VALUE"""),"마카오")</f>
        <v>마카오</v>
      </c>
      <c r="R149" s="14" t="str">
        <f ca="1">IFERROR(__xludf.DUMMYFUNCTION("""COMPUTED_VALUE"""),"Makau")</f>
        <v>Makau</v>
      </c>
      <c r="S149" s="14" t="str">
        <f ca="1">IFERROR(__xludf.DUMMYFUNCTION("""COMPUTED_VALUE"""),"Macau")</f>
        <v>Macau</v>
      </c>
      <c r="T149" s="14" t="str">
        <f ca="1">IFERROR(__xludf.DUMMYFUNCTION("""COMPUTED_VALUE"""),"Macao")</f>
        <v>Macao</v>
      </c>
      <c r="U149" s="14" t="str">
        <f ca="1">IFERROR(__xludf.DUMMYFUNCTION("""COMPUTED_VALUE"""),"Makao")</f>
        <v>Makao</v>
      </c>
      <c r="V149" s="14" t="str">
        <f ca="1">IFERROR(__xludf.DUMMYFUNCTION("""COMPUTED_VALUE"""),"Макао")</f>
        <v>Макао</v>
      </c>
      <c r="W149" s="14" t="str">
        <f ca="1">IFERROR(__xludf.DUMMYFUNCTION("""COMPUTED_VALUE"""),"Macau")</f>
        <v>Macau</v>
      </c>
      <c r="X149" s="14" t="str">
        <f ca="1">IFERROR(__xludf.DUMMYFUNCTION("""COMPUTED_VALUE"""),"Macao")</f>
        <v>Macao</v>
      </c>
      <c r="Y149" s="14" t="str">
        <f ca="1">IFERROR(__xludf.DUMMYFUNCTION("""COMPUTED_VALUE"""),"Macao")</f>
        <v>Macao</v>
      </c>
      <c r="Z149" s="14" t="str">
        <f ca="1">IFERROR(__xludf.DUMMYFUNCTION("""COMPUTED_VALUE"""),"มาเก๊า")</f>
        <v>มาเก๊า</v>
      </c>
      <c r="AA149" s="14" t="str">
        <f ca="1">IFERROR(__xludf.DUMMYFUNCTION("""COMPUTED_VALUE"""),"Macao")</f>
        <v>Macao</v>
      </c>
      <c r="AB149" s="14" t="str">
        <f ca="1">IFERROR(__xludf.DUMMYFUNCTION("""COMPUTED_VALUE"""),"MACAO")</f>
        <v>MACAO</v>
      </c>
      <c r="AC149" s="14" t="str">
        <f ca="1">IFERROR(__xludf.DUMMYFUNCTION("""COMPUTED_VALUE"""),"Макао")</f>
        <v>Макао</v>
      </c>
      <c r="AD149" s="14" t="str">
        <f ca="1">IFERROR(__xludf.DUMMYFUNCTION("""COMPUTED_VALUE"""),"Macao")</f>
        <v>Macao</v>
      </c>
      <c r="AE149" s="14" t="str">
        <f ca="1">IFERROR(__xludf.DUMMYFUNCTION("""COMPUTED_VALUE"""),"Макао")</f>
        <v>Макао</v>
      </c>
      <c r="AF149" s="14"/>
    </row>
    <row r="150" spans="1:32" ht="13" x14ac:dyDescent="0.15">
      <c r="A150" s="14" t="str">
        <f ca="1">IFERROR(__xludf.DUMMYFUNCTION("""COMPUTED_VALUE"""),"MP")</f>
        <v>MP</v>
      </c>
      <c r="B150" s="14" t="str">
        <f ca="1">IFERROR(__xludf.DUMMYFUNCTION("""COMPUTED_VALUE"""),"Northern Mariana Islands")</f>
        <v>Northern Mariana Islands</v>
      </c>
      <c r="C150" s="14" t="str">
        <f ca="1">IFERROR(__xludf.DUMMYFUNCTION("""COMPUTED_VALUE"""),"جزر ماريانا الشمالية")</f>
        <v>جزر ماريانا الشمالية</v>
      </c>
      <c r="D150" s="14" t="str">
        <f ca="1">IFERROR(__xludf.DUMMYFUNCTION("""COMPUTED_VALUE"""),"Северни Мариански острови")</f>
        <v>Северни Мариански острови</v>
      </c>
      <c r="E150" s="14" t="str">
        <f ca="1">IFERROR(__xludf.DUMMYFUNCTION("""COMPUTED_VALUE"""),"Marianas Setentrionais")</f>
        <v>Marianas Setentrionais</v>
      </c>
      <c r="F150" s="14" t="str">
        <f ca="1">IFERROR(__xludf.DUMMYFUNCTION("""COMPUTED_VALUE"""),"Паўночныя Марыянскія астравы")</f>
        <v>Паўночныя Марыянскія астравы</v>
      </c>
      <c r="G150" s="14" t="str">
        <f ca="1">IFERROR(__xludf.DUMMYFUNCTION("""COMPUTED_VALUE"""),"Severní Mariany")</f>
        <v>Severní Mariany</v>
      </c>
      <c r="H150" s="14" t="str">
        <f ca="1">IFERROR(__xludf.DUMMYFUNCTION("""COMPUTED_VALUE"""),"Nördliche Marianen")</f>
        <v>Nördliche Marianen</v>
      </c>
      <c r="I150" s="14" t="str">
        <f ca="1">IFERROR(__xludf.DUMMYFUNCTION("""COMPUTED_VALUE"""),"Marianas del Norte, (las) Islas")</f>
        <v>Marianas del Norte, (las) Islas</v>
      </c>
      <c r="J150" s="14" t="str">
        <f ca="1">IFERROR(__xludf.DUMMYFUNCTION("""COMPUTED_VALUE"""),"Pohjois-Mariaanit")</f>
        <v>Pohjois-Mariaanit</v>
      </c>
      <c r="K150" s="14" t="str">
        <f ca="1">IFERROR(__xludf.DUMMYFUNCTION("""COMPUTED_VALUE"""),"Βόρειες Μαριάνες Νήσοι")</f>
        <v>Βόρειες Μαριάνες Νήσοι</v>
      </c>
      <c r="L150" s="14" t="str">
        <f ca="1">IFERROR(__xludf.DUMMYFUNCTION("""COMPUTED_VALUE"""),"ΒΟΡΕΙΕΣ ΜΑΡΙΑΝΕΣ ΝΗΣΟΙ")</f>
        <v>ΒΟΡΕΙΕΣ ΜΑΡΙΑΝΕΣ ΝΗΣΟΙ</v>
      </c>
      <c r="M150" s="14" t="str">
        <f ca="1">IFERROR(__xludf.DUMMYFUNCTION("""COMPUTED_VALUE"""),"Sjeverni Marijanski Otoci")</f>
        <v>Sjeverni Marijanski Otoci</v>
      </c>
      <c r="N150" s="14" t="str">
        <f ca="1">IFERROR(__xludf.DUMMYFUNCTION("""COMPUTED_VALUE"""),"Északi-Mariana-szigetek")</f>
        <v>Északi-Mariana-szigetek</v>
      </c>
      <c r="O150" s="14" t="str">
        <f ca="1">IFERROR(__xludf.DUMMYFUNCTION("""COMPUTED_VALUE"""),"Mariana Utara, Kepulauan")</f>
        <v>Mariana Utara, Kepulauan</v>
      </c>
      <c r="P150" s="14" t="str">
        <f ca="1">IFERROR(__xludf.DUMMYFUNCTION("""COMPUTED_VALUE"""),"Isole Marianne Settentrionali")</f>
        <v>Isole Marianne Settentrionali</v>
      </c>
      <c r="Q150" s="14" t="str">
        <f ca="1">IFERROR(__xludf.DUMMYFUNCTION("""COMPUTED_VALUE"""),"북마리아나 제도")</f>
        <v>북마리아나 제도</v>
      </c>
      <c r="R150" s="14" t="str">
        <f ca="1">IFERROR(__xludf.DUMMYFUNCTION("""COMPUTED_VALUE"""),"Mariany Północne")</f>
        <v>Mariany Północne</v>
      </c>
      <c r="S150" s="14" t="str">
        <f ca="1">IFERROR(__xludf.DUMMYFUNCTION("""COMPUTED_VALUE"""),"Marianas Setentrionais")</f>
        <v>Marianas Setentrionais</v>
      </c>
      <c r="T150" s="14" t="str">
        <f ca="1">IFERROR(__xludf.DUMMYFUNCTION("""COMPUTED_VALUE"""),"Insulele Mariane de Nord")</f>
        <v>Insulele Mariane de Nord</v>
      </c>
      <c r="U150" s="14" t="str">
        <f ca="1">IFERROR(__xludf.DUMMYFUNCTION("""COMPUTED_VALUE"""),"Severna Marijanska Ostrva")</f>
        <v>Severna Marijanska Ostrva</v>
      </c>
      <c r="V150" s="14" t="str">
        <f ca="1">IFERROR(__xludf.DUMMYFUNCTION("""COMPUTED_VALUE"""),"Северные Марианские Острова")</f>
        <v>Северные Марианские Острова</v>
      </c>
      <c r="W150" s="14" t="str">
        <f ca="1">IFERROR(__xludf.DUMMYFUNCTION("""COMPUTED_VALUE"""),"Nordmarianerna")</f>
        <v>Nordmarianerna</v>
      </c>
      <c r="X150" s="14" t="str">
        <f ca="1">IFERROR(__xludf.DUMMYFUNCTION("""COMPUTED_VALUE"""),"Severni Marianski otoki")</f>
        <v>Severni Marianski otoki</v>
      </c>
      <c r="Y150" s="14" t="str">
        <f ca="1">IFERROR(__xludf.DUMMYFUNCTION("""COMPUTED_VALUE"""),"Severné Mariány")</f>
        <v>Severné Mariány</v>
      </c>
      <c r="Z150" s="14" t="str">
        <f ca="1">IFERROR(__xludf.DUMMYFUNCTION("""COMPUTED_VALUE"""),"หมู่เกาะนอร์เทิร์นมาเรียนา")</f>
        <v>หมู่เกาะนอร์เทิร์นมาเรียนา</v>
      </c>
      <c r="AA150" s="14" t="str">
        <f ca="1">IFERROR(__xludf.DUMMYFUNCTION("""COMPUTED_VALUE"""),"Kuzey Mariana Adaları")</f>
        <v>Kuzey Mariana Adaları</v>
      </c>
      <c r="AB150" s="14" t="str">
        <f ca="1">IFERROR(__xludf.DUMMYFUNCTION("""COMPUTED_VALUE"""),"KUZEY MARİANA ADALARI")</f>
        <v>KUZEY MARİANA ADALARI</v>
      </c>
      <c r="AC150" s="14" t="str">
        <f ca="1">IFERROR(__xludf.DUMMYFUNCTION("""COMPUTED_VALUE"""),"Північні Маріанські Острови")</f>
        <v>Північні Маріанські Острови</v>
      </c>
      <c r="AD150" s="14" t="str">
        <f ca="1">IFERROR(__xludf.DUMMYFUNCTION("""COMPUTED_VALUE"""),"Quần đảo Bắc Mariana")</f>
        <v>Quần đảo Bắc Mariana</v>
      </c>
      <c r="AE150" s="14" t="str">
        <f ca="1">IFERROR(__xludf.DUMMYFUNCTION("""COMPUTED_VALUE"""),"Солтүстік Мариана аралдары")</f>
        <v>Солтүстік Мариана аралдары</v>
      </c>
      <c r="AF150" s="14"/>
    </row>
    <row r="151" spans="1:32" ht="13" x14ac:dyDescent="0.15">
      <c r="A151" s="14" t="str">
        <f ca="1">IFERROR(__xludf.DUMMYFUNCTION("""COMPUTED_VALUE"""),"MQ")</f>
        <v>MQ</v>
      </c>
      <c r="B151" s="14" t="str">
        <f ca="1">IFERROR(__xludf.DUMMYFUNCTION("""COMPUTED_VALUE"""),"Martinique")</f>
        <v>Martinique</v>
      </c>
      <c r="C151" s="14" t="str">
        <f ca="1">IFERROR(__xludf.DUMMYFUNCTION("""COMPUTED_VALUE"""),"مارتينيك")</f>
        <v>مارتينيك</v>
      </c>
      <c r="D151" s="14" t="str">
        <f ca="1">IFERROR(__xludf.DUMMYFUNCTION("""COMPUTED_VALUE"""),"Мартиника")</f>
        <v>Мартиника</v>
      </c>
      <c r="E151" s="14" t="str">
        <f ca="1">IFERROR(__xludf.DUMMYFUNCTION("""COMPUTED_VALUE"""),"Martinica")</f>
        <v>Martinica</v>
      </c>
      <c r="F151" s="14" t="str">
        <f ca="1">IFERROR(__xludf.DUMMYFUNCTION("""COMPUTED_VALUE"""),"Марцініка")</f>
        <v>Марцініка</v>
      </c>
      <c r="G151" s="14" t="str">
        <f ca="1">IFERROR(__xludf.DUMMYFUNCTION("""COMPUTED_VALUE"""),"Martinik")</f>
        <v>Martinik</v>
      </c>
      <c r="H151" s="14" t="str">
        <f ca="1">IFERROR(__xludf.DUMMYFUNCTION("""COMPUTED_VALUE"""),"Martinique")</f>
        <v>Martinique</v>
      </c>
      <c r="I151" s="14" t="str">
        <f ca="1">IFERROR(__xludf.DUMMYFUNCTION("""COMPUTED_VALUE"""),"Martinique")</f>
        <v>Martinique</v>
      </c>
      <c r="J151" s="14" t="str">
        <f ca="1">IFERROR(__xludf.DUMMYFUNCTION("""COMPUTED_VALUE"""),"Martinique")</f>
        <v>Martinique</v>
      </c>
      <c r="K151" s="14" t="str">
        <f ca="1">IFERROR(__xludf.DUMMYFUNCTION("""COMPUTED_VALUE"""),"Μαρτινίκα")</f>
        <v>Μαρτινίκα</v>
      </c>
      <c r="L151" s="14" t="str">
        <f ca="1">IFERROR(__xludf.DUMMYFUNCTION("""COMPUTED_VALUE"""),"ΜΑΡΤΙΝΙΚΑ")</f>
        <v>ΜΑΡΤΙΝΙΚΑ</v>
      </c>
      <c r="M151" s="14" t="str">
        <f ca="1">IFERROR(__xludf.DUMMYFUNCTION("""COMPUTED_VALUE"""),"Martinique")</f>
        <v>Martinique</v>
      </c>
      <c r="N151" s="14" t="str">
        <f ca="1">IFERROR(__xludf.DUMMYFUNCTION("""COMPUTED_VALUE"""),"Martinique")</f>
        <v>Martinique</v>
      </c>
      <c r="O151" s="14" t="str">
        <f ca="1">IFERROR(__xludf.DUMMYFUNCTION("""COMPUTED_VALUE"""),"Martinik")</f>
        <v>Martinik</v>
      </c>
      <c r="P151" s="14" t="str">
        <f ca="1">IFERROR(__xludf.DUMMYFUNCTION("""COMPUTED_VALUE"""),"Martinica")</f>
        <v>Martinica</v>
      </c>
      <c r="Q151" s="14" t="str">
        <f ca="1">IFERROR(__xludf.DUMMYFUNCTION("""COMPUTED_VALUE"""),"마르티니크")</f>
        <v>마르티니크</v>
      </c>
      <c r="R151" s="14" t="str">
        <f ca="1">IFERROR(__xludf.DUMMYFUNCTION("""COMPUTED_VALUE"""),"Martynika")</f>
        <v>Martynika</v>
      </c>
      <c r="S151" s="14" t="str">
        <f ca="1">IFERROR(__xludf.DUMMYFUNCTION("""COMPUTED_VALUE"""),"Martinica")</f>
        <v>Martinica</v>
      </c>
      <c r="T151" s="14" t="str">
        <f ca="1">IFERROR(__xludf.DUMMYFUNCTION("""COMPUTED_VALUE"""),"Martinica")</f>
        <v>Martinica</v>
      </c>
      <c r="U151" s="14" t="str">
        <f ca="1">IFERROR(__xludf.DUMMYFUNCTION("""COMPUTED_VALUE"""),"Martinik")</f>
        <v>Martinik</v>
      </c>
      <c r="V151" s="14" t="str">
        <f ca="1">IFERROR(__xludf.DUMMYFUNCTION("""COMPUTED_VALUE"""),"Мартиника")</f>
        <v>Мартиника</v>
      </c>
      <c r="W151" s="14" t="str">
        <f ca="1">IFERROR(__xludf.DUMMYFUNCTION("""COMPUTED_VALUE"""),"Martinique")</f>
        <v>Martinique</v>
      </c>
      <c r="X151" s="14" t="str">
        <f ca="1">IFERROR(__xludf.DUMMYFUNCTION("""COMPUTED_VALUE"""),"Martinique")</f>
        <v>Martinique</v>
      </c>
      <c r="Y151" s="14" t="str">
        <f ca="1">IFERROR(__xludf.DUMMYFUNCTION("""COMPUTED_VALUE"""),"Martinik")</f>
        <v>Martinik</v>
      </c>
      <c r="Z151" s="14" t="str">
        <f ca="1">IFERROR(__xludf.DUMMYFUNCTION("""COMPUTED_VALUE"""),"มาร์ตีนิก")</f>
        <v>มาร์ตีนิก</v>
      </c>
      <c r="AA151" s="14" t="str">
        <f ca="1">IFERROR(__xludf.DUMMYFUNCTION("""COMPUTED_VALUE"""),"Martinik")</f>
        <v>Martinik</v>
      </c>
      <c r="AB151" s="14" t="str">
        <f ca="1">IFERROR(__xludf.DUMMYFUNCTION("""COMPUTED_VALUE"""),"MARTİNİK")</f>
        <v>MARTİNİK</v>
      </c>
      <c r="AC151" s="14" t="str">
        <f ca="1">IFERROR(__xludf.DUMMYFUNCTION("""COMPUTED_VALUE"""),"Мартиніка")</f>
        <v>Мартиніка</v>
      </c>
      <c r="AD151" s="14" t="str">
        <f ca="1">IFERROR(__xludf.DUMMYFUNCTION("""COMPUTED_VALUE"""),"Martinique")</f>
        <v>Martinique</v>
      </c>
      <c r="AE151" s="14" t="str">
        <f ca="1">IFERROR(__xludf.DUMMYFUNCTION("""COMPUTED_VALUE"""),"Мартиника")</f>
        <v>Мартиника</v>
      </c>
      <c r="AF151" s="14"/>
    </row>
    <row r="152" spans="1:32" ht="13" x14ac:dyDescent="0.15">
      <c r="A152" s="14" t="str">
        <f ca="1">IFERROR(__xludf.DUMMYFUNCTION("""COMPUTED_VALUE"""),"MR")</f>
        <v>MR</v>
      </c>
      <c r="B152" s="14" t="str">
        <f ca="1">IFERROR(__xludf.DUMMYFUNCTION("""COMPUTED_VALUE"""),"Mauritania")</f>
        <v>Mauritania</v>
      </c>
      <c r="C152" s="14" t="str">
        <f ca="1">IFERROR(__xludf.DUMMYFUNCTION("""COMPUTED_VALUE"""),"موريتانيا")</f>
        <v>موريتانيا</v>
      </c>
      <c r="D152" s="14" t="str">
        <f ca="1">IFERROR(__xludf.DUMMYFUNCTION("""COMPUTED_VALUE"""),"Мавритания")</f>
        <v>Мавритания</v>
      </c>
      <c r="E152" s="14" t="str">
        <f ca="1">IFERROR(__xludf.DUMMYFUNCTION("""COMPUTED_VALUE"""),"Mauritânia")</f>
        <v>Mauritânia</v>
      </c>
      <c r="F152" s="14" t="str">
        <f ca="1">IFERROR(__xludf.DUMMYFUNCTION("""COMPUTED_VALUE"""),"Маўрытанія")</f>
        <v>Маўрытанія</v>
      </c>
      <c r="G152" s="14" t="str">
        <f ca="1">IFERROR(__xludf.DUMMYFUNCTION("""COMPUTED_VALUE"""),"Mauritánie")</f>
        <v>Mauritánie</v>
      </c>
      <c r="H152" s="14" t="str">
        <f ca="1">IFERROR(__xludf.DUMMYFUNCTION("""COMPUTED_VALUE"""),"Mauretanien")</f>
        <v>Mauretanien</v>
      </c>
      <c r="I152" s="14" t="str">
        <f ca="1">IFERROR(__xludf.DUMMYFUNCTION("""COMPUTED_VALUE"""),"Mauritania")</f>
        <v>Mauritania</v>
      </c>
      <c r="J152" s="14" t="str">
        <f ca="1">IFERROR(__xludf.DUMMYFUNCTION("""COMPUTED_VALUE"""),"Mauritania")</f>
        <v>Mauritania</v>
      </c>
      <c r="K152" s="14" t="str">
        <f ca="1">IFERROR(__xludf.DUMMYFUNCTION("""COMPUTED_VALUE"""),"Μαυριτανία")</f>
        <v>Μαυριτανία</v>
      </c>
      <c r="L152" s="14" t="str">
        <f ca="1">IFERROR(__xludf.DUMMYFUNCTION("""COMPUTED_VALUE"""),"ΜΑΥΡΙΤΑΝΙΑ")</f>
        <v>ΜΑΥΡΙΤΑΝΙΑ</v>
      </c>
      <c r="M152" s="14" t="str">
        <f ca="1">IFERROR(__xludf.DUMMYFUNCTION("""COMPUTED_VALUE"""),"Mauritanija")</f>
        <v>Mauritanija</v>
      </c>
      <c r="N152" s="14" t="str">
        <f ca="1">IFERROR(__xludf.DUMMYFUNCTION("""COMPUTED_VALUE"""),"Mauritánia")</f>
        <v>Mauritánia</v>
      </c>
      <c r="O152" s="14" t="str">
        <f ca="1">IFERROR(__xludf.DUMMYFUNCTION("""COMPUTED_VALUE"""),"Mauritania")</f>
        <v>Mauritania</v>
      </c>
      <c r="P152" s="14" t="str">
        <f ca="1">IFERROR(__xludf.DUMMYFUNCTION("""COMPUTED_VALUE"""),"Mauritania")</f>
        <v>Mauritania</v>
      </c>
      <c r="Q152" s="14" t="str">
        <f ca="1">IFERROR(__xludf.DUMMYFUNCTION("""COMPUTED_VALUE"""),"모리타니")</f>
        <v>모리타니</v>
      </c>
      <c r="R152" s="14" t="str">
        <f ca="1">IFERROR(__xludf.DUMMYFUNCTION("""COMPUTED_VALUE"""),"Mauretania")</f>
        <v>Mauretania</v>
      </c>
      <c r="S152" s="14" t="str">
        <f ca="1">IFERROR(__xludf.DUMMYFUNCTION("""COMPUTED_VALUE"""),"Mauritânia")</f>
        <v>Mauritânia</v>
      </c>
      <c r="T152" s="14" t="str">
        <f ca="1">IFERROR(__xludf.DUMMYFUNCTION("""COMPUTED_VALUE"""),"Mauritania")</f>
        <v>Mauritania</v>
      </c>
      <c r="U152" s="14" t="str">
        <f ca="1">IFERROR(__xludf.DUMMYFUNCTION("""COMPUTED_VALUE"""),"Mauritanija")</f>
        <v>Mauritanija</v>
      </c>
      <c r="V152" s="14" t="str">
        <f ca="1">IFERROR(__xludf.DUMMYFUNCTION("""COMPUTED_VALUE"""),"Мавритания")</f>
        <v>Мавритания</v>
      </c>
      <c r="W152" s="14" t="str">
        <f ca="1">IFERROR(__xludf.DUMMYFUNCTION("""COMPUTED_VALUE"""),"Mauretanien")</f>
        <v>Mauretanien</v>
      </c>
      <c r="X152" s="14" t="str">
        <f ca="1">IFERROR(__xludf.DUMMYFUNCTION("""COMPUTED_VALUE"""),"Mavretanija")</f>
        <v>Mavretanija</v>
      </c>
      <c r="Y152" s="14" t="str">
        <f ca="1">IFERROR(__xludf.DUMMYFUNCTION("""COMPUTED_VALUE"""),"Mauritánia")</f>
        <v>Mauritánia</v>
      </c>
      <c r="Z152" s="14" t="str">
        <f ca="1">IFERROR(__xludf.DUMMYFUNCTION("""COMPUTED_VALUE"""),"มอริเตเนีย")</f>
        <v>มอริเตเนีย</v>
      </c>
      <c r="AA152" s="14" t="str">
        <f ca="1">IFERROR(__xludf.DUMMYFUNCTION("""COMPUTED_VALUE"""),"Moritanya")</f>
        <v>Moritanya</v>
      </c>
      <c r="AB152" s="14" t="str">
        <f ca="1">IFERROR(__xludf.DUMMYFUNCTION("""COMPUTED_VALUE"""),"MORİTANYA")</f>
        <v>MORİTANYA</v>
      </c>
      <c r="AC152" s="14" t="str">
        <f ca="1">IFERROR(__xludf.DUMMYFUNCTION("""COMPUTED_VALUE"""),"Мавританія")</f>
        <v>Мавританія</v>
      </c>
      <c r="AD152" s="14" t="str">
        <f ca="1">IFERROR(__xludf.DUMMYFUNCTION("""COMPUTED_VALUE"""),"Mauritanie")</f>
        <v>Mauritanie</v>
      </c>
      <c r="AE152" s="14" t="str">
        <f ca="1">IFERROR(__xludf.DUMMYFUNCTION("""COMPUTED_VALUE"""),"Мавритания")</f>
        <v>Мавритания</v>
      </c>
      <c r="AF152" s="14"/>
    </row>
    <row r="153" spans="1:32" ht="13" x14ac:dyDescent="0.15">
      <c r="A153" s="14" t="str">
        <f ca="1">IFERROR(__xludf.DUMMYFUNCTION("""COMPUTED_VALUE"""),"MS")</f>
        <v>MS</v>
      </c>
      <c r="B153" s="14" t="str">
        <f ca="1">IFERROR(__xludf.DUMMYFUNCTION("""COMPUTED_VALUE"""),"Montserrat")</f>
        <v>Montserrat</v>
      </c>
      <c r="C153" s="14" t="str">
        <f ca="1">IFERROR(__xludf.DUMMYFUNCTION("""COMPUTED_VALUE"""),"مونتسرات")</f>
        <v>مونتسرات</v>
      </c>
      <c r="D153" s="14" t="str">
        <f ca="1">IFERROR(__xludf.DUMMYFUNCTION("""COMPUTED_VALUE"""),"Монсерат")</f>
        <v>Монсерат</v>
      </c>
      <c r="E153" s="14" t="str">
        <f ca="1">IFERROR(__xludf.DUMMYFUNCTION("""COMPUTED_VALUE"""),"Montserrat")</f>
        <v>Montserrat</v>
      </c>
      <c r="F153" s="14" t="str">
        <f ca="1">IFERROR(__xludf.DUMMYFUNCTION("""COMPUTED_VALUE"""),"Мантсерат")</f>
        <v>Мантсерат</v>
      </c>
      <c r="G153" s="14" t="str">
        <f ca="1">IFERROR(__xludf.DUMMYFUNCTION("""COMPUTED_VALUE"""),"Montserrat")</f>
        <v>Montserrat</v>
      </c>
      <c r="H153" s="14" t="str">
        <f ca="1">IFERROR(__xludf.DUMMYFUNCTION("""COMPUTED_VALUE"""),"Montserrat")</f>
        <v>Montserrat</v>
      </c>
      <c r="I153" s="14" t="str">
        <f ca="1">IFERROR(__xludf.DUMMYFUNCTION("""COMPUTED_VALUE"""),"Montserrat")</f>
        <v>Montserrat</v>
      </c>
      <c r="J153" s="14" t="str">
        <f ca="1">IFERROR(__xludf.DUMMYFUNCTION("""COMPUTED_VALUE"""),"Montserrat")</f>
        <v>Montserrat</v>
      </c>
      <c r="K153" s="14" t="str">
        <f ca="1">IFERROR(__xludf.DUMMYFUNCTION("""COMPUTED_VALUE"""),"Μοντσερράτ")</f>
        <v>Μοντσερράτ</v>
      </c>
      <c r="L153" s="14" t="str">
        <f ca="1">IFERROR(__xludf.DUMMYFUNCTION("""COMPUTED_VALUE"""),"ΜΟΝΤΣΕΡΡΑΤ")</f>
        <v>ΜΟΝΤΣΕΡΡΑΤ</v>
      </c>
      <c r="M153" s="14" t="str">
        <f ca="1">IFERROR(__xludf.DUMMYFUNCTION("""COMPUTED_VALUE"""),"Montserrat")</f>
        <v>Montserrat</v>
      </c>
      <c r="N153" s="14" t="str">
        <f ca="1">IFERROR(__xludf.DUMMYFUNCTION("""COMPUTED_VALUE"""),"Montserrat")</f>
        <v>Montserrat</v>
      </c>
      <c r="O153" s="14" t="str">
        <f ca="1">IFERROR(__xludf.DUMMYFUNCTION("""COMPUTED_VALUE"""),"Montserrat")</f>
        <v>Montserrat</v>
      </c>
      <c r="P153" s="14" t="str">
        <f ca="1">IFERROR(__xludf.DUMMYFUNCTION("""COMPUTED_VALUE"""),"Montserrat")</f>
        <v>Montserrat</v>
      </c>
      <c r="Q153" s="14" t="str">
        <f ca="1">IFERROR(__xludf.DUMMYFUNCTION("""COMPUTED_VALUE"""),"몬트세랫")</f>
        <v>몬트세랫</v>
      </c>
      <c r="R153" s="14" t="str">
        <f ca="1">IFERROR(__xludf.DUMMYFUNCTION("""COMPUTED_VALUE"""),"Montserrat")</f>
        <v>Montserrat</v>
      </c>
      <c r="S153" s="14" t="str">
        <f ca="1">IFERROR(__xludf.DUMMYFUNCTION("""COMPUTED_VALUE"""),"Montserrat")</f>
        <v>Montserrat</v>
      </c>
      <c r="T153" s="14" t="str">
        <f ca="1">IFERROR(__xludf.DUMMYFUNCTION("""COMPUTED_VALUE"""),"Montserrat")</f>
        <v>Montserrat</v>
      </c>
      <c r="U153" s="14" t="str">
        <f ca="1">IFERROR(__xludf.DUMMYFUNCTION("""COMPUTED_VALUE"""),"Monserat")</f>
        <v>Monserat</v>
      </c>
      <c r="V153" s="14" t="str">
        <f ca="1">IFERROR(__xludf.DUMMYFUNCTION("""COMPUTED_VALUE"""),"Монтсеррат")</f>
        <v>Монтсеррат</v>
      </c>
      <c r="W153" s="14" t="str">
        <f ca="1">IFERROR(__xludf.DUMMYFUNCTION("""COMPUTED_VALUE"""),"Montserrat")</f>
        <v>Montserrat</v>
      </c>
      <c r="X153" s="14" t="str">
        <f ca="1">IFERROR(__xludf.DUMMYFUNCTION("""COMPUTED_VALUE"""),"Montserrat")</f>
        <v>Montserrat</v>
      </c>
      <c r="Y153" s="14" t="str">
        <f ca="1">IFERROR(__xludf.DUMMYFUNCTION("""COMPUTED_VALUE"""),"Montserrat")</f>
        <v>Montserrat</v>
      </c>
      <c r="Z153" s="14" t="str">
        <f ca="1">IFERROR(__xludf.DUMMYFUNCTION("""COMPUTED_VALUE"""),"มอนต์เซอร์รัต")</f>
        <v>มอนต์เซอร์รัต</v>
      </c>
      <c r="AA153" s="14" t="str">
        <f ca="1">IFERROR(__xludf.DUMMYFUNCTION("""COMPUTED_VALUE"""),"Montserrat")</f>
        <v>Montserrat</v>
      </c>
      <c r="AB153" s="14" t="str">
        <f ca="1">IFERROR(__xludf.DUMMYFUNCTION("""COMPUTED_VALUE"""),"MONTSERRAT")</f>
        <v>MONTSERRAT</v>
      </c>
      <c r="AC153" s="14" t="str">
        <f ca="1">IFERROR(__xludf.DUMMYFUNCTION("""COMPUTED_VALUE"""),"Монтсеррат")</f>
        <v>Монтсеррат</v>
      </c>
      <c r="AD153" s="14" t="str">
        <f ca="1">IFERROR(__xludf.DUMMYFUNCTION("""COMPUTED_VALUE"""),"Montserrat")</f>
        <v>Montserrat</v>
      </c>
      <c r="AE153" s="14" t="str">
        <f ca="1">IFERROR(__xludf.DUMMYFUNCTION("""COMPUTED_VALUE"""),"Монтсеррат")</f>
        <v>Монтсеррат</v>
      </c>
      <c r="AF153" s="14"/>
    </row>
    <row r="154" spans="1:32" ht="13" x14ac:dyDescent="0.15">
      <c r="A154" s="14" t="str">
        <f ca="1">IFERROR(__xludf.DUMMYFUNCTION("""COMPUTED_VALUE"""),"MT")</f>
        <v>MT</v>
      </c>
      <c r="B154" s="14" t="str">
        <f ca="1">IFERROR(__xludf.DUMMYFUNCTION("""COMPUTED_VALUE"""),"Malta")</f>
        <v>Malta</v>
      </c>
      <c r="C154" s="14" t="str">
        <f ca="1">IFERROR(__xludf.DUMMYFUNCTION("""COMPUTED_VALUE"""),"مالطا")</f>
        <v>مالطا</v>
      </c>
      <c r="D154" s="14" t="str">
        <f ca="1">IFERROR(__xludf.DUMMYFUNCTION("""COMPUTED_VALUE"""),"Малта")</f>
        <v>Малта</v>
      </c>
      <c r="E154" s="14" t="str">
        <f ca="1">IFERROR(__xludf.DUMMYFUNCTION("""COMPUTED_VALUE"""),"Malta")</f>
        <v>Malta</v>
      </c>
      <c r="F154" s="14" t="str">
        <f ca="1">IFERROR(__xludf.DUMMYFUNCTION("""COMPUTED_VALUE"""),"Мальта")</f>
        <v>Мальта</v>
      </c>
      <c r="G154" s="14" t="str">
        <f ca="1">IFERROR(__xludf.DUMMYFUNCTION("""COMPUTED_VALUE"""),"Malta")</f>
        <v>Malta</v>
      </c>
      <c r="H154" s="14" t="str">
        <f ca="1">IFERROR(__xludf.DUMMYFUNCTION("""COMPUTED_VALUE"""),"Malta")</f>
        <v>Malta</v>
      </c>
      <c r="I154" s="14" t="str">
        <f ca="1">IFERROR(__xludf.DUMMYFUNCTION("""COMPUTED_VALUE"""),"Malta")</f>
        <v>Malta</v>
      </c>
      <c r="J154" s="14" t="str">
        <f ca="1">IFERROR(__xludf.DUMMYFUNCTION("""COMPUTED_VALUE"""),"Malta")</f>
        <v>Malta</v>
      </c>
      <c r="K154" s="14" t="str">
        <f ca="1">IFERROR(__xludf.DUMMYFUNCTION("""COMPUTED_VALUE"""),"Μάλτα")</f>
        <v>Μάλτα</v>
      </c>
      <c r="L154" s="14" t="str">
        <f ca="1">IFERROR(__xludf.DUMMYFUNCTION("""COMPUTED_VALUE"""),"ΜΑΛΤΑ")</f>
        <v>ΜΑΛΤΑ</v>
      </c>
      <c r="M154" s="14" t="str">
        <f ca="1">IFERROR(__xludf.DUMMYFUNCTION("""COMPUTED_VALUE"""),"Malta")</f>
        <v>Malta</v>
      </c>
      <c r="N154" s="14" t="str">
        <f ca="1">IFERROR(__xludf.DUMMYFUNCTION("""COMPUTED_VALUE"""),"Málta")</f>
        <v>Málta</v>
      </c>
      <c r="O154" s="14" t="str">
        <f ca="1">IFERROR(__xludf.DUMMYFUNCTION("""COMPUTED_VALUE"""),"Malta")</f>
        <v>Malta</v>
      </c>
      <c r="P154" s="14" t="str">
        <f ca="1">IFERROR(__xludf.DUMMYFUNCTION("""COMPUTED_VALUE"""),"Malta")</f>
        <v>Malta</v>
      </c>
      <c r="Q154" s="14" t="str">
        <f ca="1">IFERROR(__xludf.DUMMYFUNCTION("""COMPUTED_VALUE"""),"몰타")</f>
        <v>몰타</v>
      </c>
      <c r="R154" s="14" t="str">
        <f ca="1">IFERROR(__xludf.DUMMYFUNCTION("""COMPUTED_VALUE"""),"Malta")</f>
        <v>Malta</v>
      </c>
      <c r="S154" s="14" t="str">
        <f ca="1">IFERROR(__xludf.DUMMYFUNCTION("""COMPUTED_VALUE"""),"Malta")</f>
        <v>Malta</v>
      </c>
      <c r="T154" s="14" t="str">
        <f ca="1">IFERROR(__xludf.DUMMYFUNCTION("""COMPUTED_VALUE"""),"Malta")</f>
        <v>Malta</v>
      </c>
      <c r="U154" s="14" t="str">
        <f ca="1">IFERROR(__xludf.DUMMYFUNCTION("""COMPUTED_VALUE"""),"Malta")</f>
        <v>Malta</v>
      </c>
      <c r="V154" s="14" t="str">
        <f ca="1">IFERROR(__xludf.DUMMYFUNCTION("""COMPUTED_VALUE"""),"Мальта")</f>
        <v>Мальта</v>
      </c>
      <c r="W154" s="14" t="str">
        <f ca="1">IFERROR(__xludf.DUMMYFUNCTION("""COMPUTED_VALUE"""),"Malta")</f>
        <v>Malta</v>
      </c>
      <c r="X154" s="14" t="str">
        <f ca="1">IFERROR(__xludf.DUMMYFUNCTION("""COMPUTED_VALUE"""),"Malta")</f>
        <v>Malta</v>
      </c>
      <c r="Y154" s="14" t="str">
        <f ca="1">IFERROR(__xludf.DUMMYFUNCTION("""COMPUTED_VALUE"""),"Malta")</f>
        <v>Malta</v>
      </c>
      <c r="Z154" s="14" t="str">
        <f ca="1">IFERROR(__xludf.DUMMYFUNCTION("""COMPUTED_VALUE"""),"มอลตา")</f>
        <v>มอลตา</v>
      </c>
      <c r="AA154" s="14" t="str">
        <f ca="1">IFERROR(__xludf.DUMMYFUNCTION("""COMPUTED_VALUE"""),"Malta")</f>
        <v>Malta</v>
      </c>
      <c r="AB154" s="14" t="str">
        <f ca="1">IFERROR(__xludf.DUMMYFUNCTION("""COMPUTED_VALUE"""),"MALTA")</f>
        <v>MALTA</v>
      </c>
      <c r="AC154" s="14" t="str">
        <f ca="1">IFERROR(__xludf.DUMMYFUNCTION("""COMPUTED_VALUE"""),"Мальта")</f>
        <v>Мальта</v>
      </c>
      <c r="AD154" s="14" t="str">
        <f ca="1">IFERROR(__xludf.DUMMYFUNCTION("""COMPUTED_VALUE"""),"Malta")</f>
        <v>Malta</v>
      </c>
      <c r="AE154" s="14" t="str">
        <f ca="1">IFERROR(__xludf.DUMMYFUNCTION("""COMPUTED_VALUE"""),"Мальта")</f>
        <v>Мальта</v>
      </c>
      <c r="AF154" s="14"/>
    </row>
    <row r="155" spans="1:32" ht="13" x14ac:dyDescent="0.15">
      <c r="A155" s="14" t="str">
        <f ca="1">IFERROR(__xludf.DUMMYFUNCTION("""COMPUTED_VALUE"""),"MU")</f>
        <v>MU</v>
      </c>
      <c r="B155" s="14" t="str">
        <f ca="1">IFERROR(__xludf.DUMMYFUNCTION("""COMPUTED_VALUE"""),"Mauritius")</f>
        <v>Mauritius</v>
      </c>
      <c r="C155" s="14" t="str">
        <f ca="1">IFERROR(__xludf.DUMMYFUNCTION("""COMPUTED_VALUE"""),"موريشيوس")</f>
        <v>موريشيوس</v>
      </c>
      <c r="D155" s="14" t="str">
        <f ca="1">IFERROR(__xludf.DUMMYFUNCTION("""COMPUTED_VALUE"""),"Мавриций")</f>
        <v>Мавриций</v>
      </c>
      <c r="E155" s="14" t="str">
        <f ca="1">IFERROR(__xludf.DUMMYFUNCTION("""COMPUTED_VALUE"""),"Maurícia")</f>
        <v>Maurícia</v>
      </c>
      <c r="F155" s="14" t="str">
        <f ca="1">IFERROR(__xludf.DUMMYFUNCTION("""COMPUTED_VALUE"""),"Маўрыкій")</f>
        <v>Маўрыкій</v>
      </c>
      <c r="G155" s="14" t="str">
        <f ca="1">IFERROR(__xludf.DUMMYFUNCTION("""COMPUTED_VALUE"""),"Mauricius")</f>
        <v>Mauricius</v>
      </c>
      <c r="H155" s="14" t="str">
        <f ca="1">IFERROR(__xludf.DUMMYFUNCTION("""COMPUTED_VALUE"""),"Mauritius")</f>
        <v>Mauritius</v>
      </c>
      <c r="I155" s="14" t="str">
        <f ca="1">IFERROR(__xludf.DUMMYFUNCTION("""COMPUTED_VALUE"""),"Mauricio")</f>
        <v>Mauricio</v>
      </c>
      <c r="J155" s="14" t="str">
        <f ca="1">IFERROR(__xludf.DUMMYFUNCTION("""COMPUTED_VALUE"""),"Mauritius")</f>
        <v>Mauritius</v>
      </c>
      <c r="K155" s="14" t="str">
        <f ca="1">IFERROR(__xludf.DUMMYFUNCTION("""COMPUTED_VALUE"""),"Μαυρίκιος")</f>
        <v>Μαυρίκιος</v>
      </c>
      <c r="L155" s="14" t="str">
        <f ca="1">IFERROR(__xludf.DUMMYFUNCTION("""COMPUTED_VALUE"""),"ΜΑΥΡΙΚΙΟΣ")</f>
        <v>ΜΑΥΡΙΚΙΟΣ</v>
      </c>
      <c r="M155" s="14" t="str">
        <f ca="1">IFERROR(__xludf.DUMMYFUNCTION("""COMPUTED_VALUE"""),"Mauricijus")</f>
        <v>Mauricijus</v>
      </c>
      <c r="N155" s="14" t="str">
        <f ca="1">IFERROR(__xludf.DUMMYFUNCTION("""COMPUTED_VALUE"""),"Mauritius")</f>
        <v>Mauritius</v>
      </c>
      <c r="O155" s="14" t="str">
        <f ca="1">IFERROR(__xludf.DUMMYFUNCTION("""COMPUTED_VALUE"""),"Mauritius")</f>
        <v>Mauritius</v>
      </c>
      <c r="P155" s="14" t="str">
        <f ca="1">IFERROR(__xludf.DUMMYFUNCTION("""COMPUTED_VALUE"""),"Mauritius")</f>
        <v>Mauritius</v>
      </c>
      <c r="Q155" s="14" t="str">
        <f ca="1">IFERROR(__xludf.DUMMYFUNCTION("""COMPUTED_VALUE"""),"모리셔스")</f>
        <v>모리셔스</v>
      </c>
      <c r="R155" s="14" t="str">
        <f ca="1">IFERROR(__xludf.DUMMYFUNCTION("""COMPUTED_VALUE"""),"Mauritius")</f>
        <v>Mauritius</v>
      </c>
      <c r="S155" s="14" t="str">
        <f ca="1">IFERROR(__xludf.DUMMYFUNCTION("""COMPUTED_VALUE"""),"Maurícia")</f>
        <v>Maurícia</v>
      </c>
      <c r="T155" s="14" t="str">
        <f ca="1">IFERROR(__xludf.DUMMYFUNCTION("""COMPUTED_VALUE"""),"Mauritius")</f>
        <v>Mauritius</v>
      </c>
      <c r="U155" s="14" t="str">
        <f ca="1">IFERROR(__xludf.DUMMYFUNCTION("""COMPUTED_VALUE"""),"Mauricijus")</f>
        <v>Mauricijus</v>
      </c>
      <c r="V155" s="14" t="str">
        <f ca="1">IFERROR(__xludf.DUMMYFUNCTION("""COMPUTED_VALUE"""),"Маврикий")</f>
        <v>Маврикий</v>
      </c>
      <c r="W155" s="14" t="str">
        <f ca="1">IFERROR(__xludf.DUMMYFUNCTION("""COMPUTED_VALUE"""),"Mauritius")</f>
        <v>Mauritius</v>
      </c>
      <c r="X155" s="14" t="str">
        <f ca="1">IFERROR(__xludf.DUMMYFUNCTION("""COMPUTED_VALUE"""),"Mauritius")</f>
        <v>Mauritius</v>
      </c>
      <c r="Y155" s="14" t="str">
        <f ca="1">IFERROR(__xludf.DUMMYFUNCTION("""COMPUTED_VALUE"""),"Maurícius")</f>
        <v>Maurícius</v>
      </c>
      <c r="Z155" s="14" t="str">
        <f ca="1">IFERROR(__xludf.DUMMYFUNCTION("""COMPUTED_VALUE"""),"มอริเชียส")</f>
        <v>มอริเชียส</v>
      </c>
      <c r="AA155" s="14" t="str">
        <f ca="1">IFERROR(__xludf.DUMMYFUNCTION("""COMPUTED_VALUE"""),"Mauritius")</f>
        <v>Mauritius</v>
      </c>
      <c r="AB155" s="14" t="str">
        <f ca="1">IFERROR(__xludf.DUMMYFUNCTION("""COMPUTED_VALUE"""),"MAURİTİUS")</f>
        <v>MAURİTİUS</v>
      </c>
      <c r="AC155" s="14" t="str">
        <f ca="1">IFERROR(__xludf.DUMMYFUNCTION("""COMPUTED_VALUE"""),"Маврикій")</f>
        <v>Маврикій</v>
      </c>
      <c r="AD155" s="14" t="str">
        <f ca="1">IFERROR(__xludf.DUMMYFUNCTION("""COMPUTED_VALUE"""),"Mauritius")</f>
        <v>Mauritius</v>
      </c>
      <c r="AE155" s="14" t="str">
        <f ca="1">IFERROR(__xludf.DUMMYFUNCTION("""COMPUTED_VALUE"""),"Маврикий")</f>
        <v>Маврикий</v>
      </c>
      <c r="AF155" s="14"/>
    </row>
    <row r="156" spans="1:32" ht="13" x14ac:dyDescent="0.15">
      <c r="A156" s="14" t="str">
        <f ca="1">IFERROR(__xludf.DUMMYFUNCTION("""COMPUTED_VALUE"""),"MV")</f>
        <v>MV</v>
      </c>
      <c r="B156" s="14" t="str">
        <f ca="1">IFERROR(__xludf.DUMMYFUNCTION("""COMPUTED_VALUE"""),"Maldives")</f>
        <v>Maldives</v>
      </c>
      <c r="C156" s="14" t="str">
        <f ca="1">IFERROR(__xludf.DUMMYFUNCTION("""COMPUTED_VALUE"""),"جزر الملديف")</f>
        <v>جزر الملديف</v>
      </c>
      <c r="D156" s="14" t="str">
        <f ca="1">IFERROR(__xludf.DUMMYFUNCTION("""COMPUTED_VALUE"""),"Малдиви")</f>
        <v>Малдиви</v>
      </c>
      <c r="E156" s="14" t="str">
        <f ca="1">IFERROR(__xludf.DUMMYFUNCTION("""COMPUTED_VALUE"""),"Maldivas")</f>
        <v>Maldivas</v>
      </c>
      <c r="F156" s="14" t="str">
        <f ca="1">IFERROR(__xludf.DUMMYFUNCTION("""COMPUTED_VALUE"""),"Мальдывы")</f>
        <v>Мальдывы</v>
      </c>
      <c r="G156" s="14" t="str">
        <f ca="1">IFERROR(__xludf.DUMMYFUNCTION("""COMPUTED_VALUE"""),"Maledivy")</f>
        <v>Maledivy</v>
      </c>
      <c r="H156" s="14" t="str">
        <f ca="1">IFERROR(__xludf.DUMMYFUNCTION("""COMPUTED_VALUE"""),"Malediven")</f>
        <v>Malediven</v>
      </c>
      <c r="I156" s="14" t="str">
        <f ca="1">IFERROR(__xludf.DUMMYFUNCTION("""COMPUTED_VALUE"""),"Maldivas")</f>
        <v>Maldivas</v>
      </c>
      <c r="J156" s="14" t="str">
        <f ca="1">IFERROR(__xludf.DUMMYFUNCTION("""COMPUTED_VALUE"""),"Malediivit")</f>
        <v>Malediivit</v>
      </c>
      <c r="K156" s="14" t="str">
        <f ca="1">IFERROR(__xludf.DUMMYFUNCTION("""COMPUTED_VALUE"""),"Μαλδίβες")</f>
        <v>Μαλδίβες</v>
      </c>
      <c r="L156" s="14" t="str">
        <f ca="1">IFERROR(__xludf.DUMMYFUNCTION("""COMPUTED_VALUE"""),"ΜΑΛΔΙΒΕΣ")</f>
        <v>ΜΑΛΔΙΒΕΣ</v>
      </c>
      <c r="M156" s="14" t="str">
        <f ca="1">IFERROR(__xludf.DUMMYFUNCTION("""COMPUTED_VALUE"""),"Maldivi")</f>
        <v>Maldivi</v>
      </c>
      <c r="N156" s="14" t="str">
        <f ca="1">IFERROR(__xludf.DUMMYFUNCTION("""COMPUTED_VALUE"""),"Maldív-szigetek")</f>
        <v>Maldív-szigetek</v>
      </c>
      <c r="O156" s="14" t="str">
        <f ca="1">IFERROR(__xludf.DUMMYFUNCTION("""COMPUTED_VALUE"""),"Maladewa")</f>
        <v>Maladewa</v>
      </c>
      <c r="P156" s="14" t="str">
        <f ca="1">IFERROR(__xludf.DUMMYFUNCTION("""COMPUTED_VALUE"""),"Maldive")</f>
        <v>Maldive</v>
      </c>
      <c r="Q156" s="14" t="str">
        <f ca="1">IFERROR(__xludf.DUMMYFUNCTION("""COMPUTED_VALUE"""),"몰디브")</f>
        <v>몰디브</v>
      </c>
      <c r="R156" s="14" t="str">
        <f ca="1">IFERROR(__xludf.DUMMYFUNCTION("""COMPUTED_VALUE"""),"Malediwy")</f>
        <v>Malediwy</v>
      </c>
      <c r="S156" s="14" t="str">
        <f ca="1">IFERROR(__xludf.DUMMYFUNCTION("""COMPUTED_VALUE"""),"Maldivas")</f>
        <v>Maldivas</v>
      </c>
      <c r="T156" s="14" t="str">
        <f ca="1">IFERROR(__xludf.DUMMYFUNCTION("""COMPUTED_VALUE"""),"Maldive")</f>
        <v>Maldive</v>
      </c>
      <c r="U156" s="14" t="str">
        <f ca="1">IFERROR(__xludf.DUMMYFUNCTION("""COMPUTED_VALUE"""),"Maldivi")</f>
        <v>Maldivi</v>
      </c>
      <c r="V156" s="14" t="str">
        <f ca="1">IFERROR(__xludf.DUMMYFUNCTION("""COMPUTED_VALUE"""),"Мальдивы")</f>
        <v>Мальдивы</v>
      </c>
      <c r="W156" s="14" t="str">
        <f ca="1">IFERROR(__xludf.DUMMYFUNCTION("""COMPUTED_VALUE"""),"Maldiverna")</f>
        <v>Maldiverna</v>
      </c>
      <c r="X156" s="14" t="str">
        <f ca="1">IFERROR(__xludf.DUMMYFUNCTION("""COMPUTED_VALUE"""),"Maldivi")</f>
        <v>Maldivi</v>
      </c>
      <c r="Y156" s="14" t="str">
        <f ca="1">IFERROR(__xludf.DUMMYFUNCTION("""COMPUTED_VALUE"""),"Maldivy")</f>
        <v>Maldivy</v>
      </c>
      <c r="Z156" s="14" t="str">
        <f ca="1">IFERROR(__xludf.DUMMYFUNCTION("""COMPUTED_VALUE"""),"มัลดีฟส์")</f>
        <v>มัลดีฟส์</v>
      </c>
      <c r="AA156" s="14" t="str">
        <f ca="1">IFERROR(__xludf.DUMMYFUNCTION("""COMPUTED_VALUE"""),"Maldivler")</f>
        <v>Maldivler</v>
      </c>
      <c r="AB156" s="14" t="str">
        <f ca="1">IFERROR(__xludf.DUMMYFUNCTION("""COMPUTED_VALUE"""),"MALDİVLER")</f>
        <v>MALDİVLER</v>
      </c>
      <c r="AC156" s="14" t="str">
        <f ca="1">IFERROR(__xludf.DUMMYFUNCTION("""COMPUTED_VALUE"""),"Мальдіви")</f>
        <v>Мальдіви</v>
      </c>
      <c r="AD156" s="14" t="str">
        <f ca="1">IFERROR(__xludf.DUMMYFUNCTION("""COMPUTED_VALUE"""),"Maldives")</f>
        <v>Maldives</v>
      </c>
      <c r="AE156" s="14" t="str">
        <f ca="1">IFERROR(__xludf.DUMMYFUNCTION("""COMPUTED_VALUE"""),"Мальдив Республикасы")</f>
        <v>Мальдив Республикасы</v>
      </c>
      <c r="AF156" s="14"/>
    </row>
    <row r="157" spans="1:32" ht="13" x14ac:dyDescent="0.15">
      <c r="A157" s="14" t="str">
        <f ca="1">IFERROR(__xludf.DUMMYFUNCTION("""COMPUTED_VALUE"""),"MW")</f>
        <v>MW</v>
      </c>
      <c r="B157" s="14" t="str">
        <f ca="1">IFERROR(__xludf.DUMMYFUNCTION("""COMPUTED_VALUE"""),"Malawi")</f>
        <v>Malawi</v>
      </c>
      <c r="C157" s="14" t="str">
        <f ca="1">IFERROR(__xludf.DUMMYFUNCTION("""COMPUTED_VALUE"""),"ملاوي")</f>
        <v>ملاوي</v>
      </c>
      <c r="D157" s="14" t="str">
        <f ca="1">IFERROR(__xludf.DUMMYFUNCTION("""COMPUTED_VALUE"""),"Малави")</f>
        <v>Малави</v>
      </c>
      <c r="E157" s="14" t="str">
        <f ca="1">IFERROR(__xludf.DUMMYFUNCTION("""COMPUTED_VALUE"""),"Malawi")</f>
        <v>Malawi</v>
      </c>
      <c r="F157" s="14" t="str">
        <f ca="1">IFERROR(__xludf.DUMMYFUNCTION("""COMPUTED_VALUE"""),"Малаві")</f>
        <v>Малаві</v>
      </c>
      <c r="G157" s="14" t="str">
        <f ca="1">IFERROR(__xludf.DUMMYFUNCTION("""COMPUTED_VALUE"""),"Malawi")</f>
        <v>Malawi</v>
      </c>
      <c r="H157" s="14" t="str">
        <f ca="1">IFERROR(__xludf.DUMMYFUNCTION("""COMPUTED_VALUE"""),"Malawi")</f>
        <v>Malawi</v>
      </c>
      <c r="I157" s="14" t="str">
        <f ca="1">IFERROR(__xludf.DUMMYFUNCTION("""COMPUTED_VALUE"""),"Malawi")</f>
        <v>Malawi</v>
      </c>
      <c r="J157" s="14" t="str">
        <f ca="1">IFERROR(__xludf.DUMMYFUNCTION("""COMPUTED_VALUE"""),"Malawi")</f>
        <v>Malawi</v>
      </c>
      <c r="K157" s="14" t="str">
        <f ca="1">IFERROR(__xludf.DUMMYFUNCTION("""COMPUTED_VALUE"""),"Μαλάουι")</f>
        <v>Μαλάουι</v>
      </c>
      <c r="L157" s="14" t="str">
        <f ca="1">IFERROR(__xludf.DUMMYFUNCTION("""COMPUTED_VALUE"""),"ΜΑΛΑΟΥΙ")</f>
        <v>ΜΑΛΑΟΥΙ</v>
      </c>
      <c r="M157" s="14" t="str">
        <f ca="1">IFERROR(__xludf.DUMMYFUNCTION("""COMPUTED_VALUE"""),"Malavi")</f>
        <v>Malavi</v>
      </c>
      <c r="N157" s="14" t="str">
        <f ca="1">IFERROR(__xludf.DUMMYFUNCTION("""COMPUTED_VALUE"""),"Malawi")</f>
        <v>Malawi</v>
      </c>
      <c r="O157" s="14" t="str">
        <f ca="1">IFERROR(__xludf.DUMMYFUNCTION("""COMPUTED_VALUE"""),"Malawi")</f>
        <v>Malawi</v>
      </c>
      <c r="P157" s="14" t="str">
        <f ca="1">IFERROR(__xludf.DUMMYFUNCTION("""COMPUTED_VALUE"""),"Malawi")</f>
        <v>Malawi</v>
      </c>
      <c r="Q157" s="14" t="str">
        <f ca="1">IFERROR(__xludf.DUMMYFUNCTION("""COMPUTED_VALUE"""),"말라위")</f>
        <v>말라위</v>
      </c>
      <c r="R157" s="14" t="str">
        <f ca="1">IFERROR(__xludf.DUMMYFUNCTION("""COMPUTED_VALUE"""),"Malawi")</f>
        <v>Malawi</v>
      </c>
      <c r="S157" s="14" t="str">
        <f ca="1">IFERROR(__xludf.DUMMYFUNCTION("""COMPUTED_VALUE"""),"Malawi")</f>
        <v>Malawi</v>
      </c>
      <c r="T157" s="14" t="str">
        <f ca="1">IFERROR(__xludf.DUMMYFUNCTION("""COMPUTED_VALUE"""),"Malawi")</f>
        <v>Malawi</v>
      </c>
      <c r="U157" s="14" t="str">
        <f ca="1">IFERROR(__xludf.DUMMYFUNCTION("""COMPUTED_VALUE"""),"Malavi")</f>
        <v>Malavi</v>
      </c>
      <c r="V157" s="14" t="str">
        <f ca="1">IFERROR(__xludf.DUMMYFUNCTION("""COMPUTED_VALUE"""),"Малави")</f>
        <v>Малави</v>
      </c>
      <c r="W157" s="14" t="str">
        <f ca="1">IFERROR(__xludf.DUMMYFUNCTION("""COMPUTED_VALUE"""),"Malawi")</f>
        <v>Malawi</v>
      </c>
      <c r="X157" s="14" t="str">
        <f ca="1">IFERROR(__xludf.DUMMYFUNCTION("""COMPUTED_VALUE"""),"Malavi")</f>
        <v>Malavi</v>
      </c>
      <c r="Y157" s="14" t="str">
        <f ca="1">IFERROR(__xludf.DUMMYFUNCTION("""COMPUTED_VALUE"""),"Malawi")</f>
        <v>Malawi</v>
      </c>
      <c r="Z157" s="14" t="str">
        <f ca="1">IFERROR(__xludf.DUMMYFUNCTION("""COMPUTED_VALUE"""),"มาลาวี")</f>
        <v>มาลาวี</v>
      </c>
      <c r="AA157" s="14" t="str">
        <f ca="1">IFERROR(__xludf.DUMMYFUNCTION("""COMPUTED_VALUE"""),"Malawi")</f>
        <v>Malawi</v>
      </c>
      <c r="AB157" s="14" t="str">
        <f ca="1">IFERROR(__xludf.DUMMYFUNCTION("""COMPUTED_VALUE"""),"MALAWİ")</f>
        <v>MALAWİ</v>
      </c>
      <c r="AC157" s="14" t="str">
        <f ca="1">IFERROR(__xludf.DUMMYFUNCTION("""COMPUTED_VALUE"""),"Малаві")</f>
        <v>Малаві</v>
      </c>
      <c r="AD157" s="14" t="str">
        <f ca="1">IFERROR(__xludf.DUMMYFUNCTION("""COMPUTED_VALUE"""),"Malawi")</f>
        <v>Malawi</v>
      </c>
      <c r="AE157" s="14" t="str">
        <f ca="1">IFERROR(__xludf.DUMMYFUNCTION("""COMPUTED_VALUE"""),"Малави")</f>
        <v>Малави</v>
      </c>
      <c r="AF157" s="14"/>
    </row>
    <row r="158" spans="1:32" ht="13" x14ac:dyDescent="0.15">
      <c r="A158" s="14" t="str">
        <f ca="1">IFERROR(__xludf.DUMMYFUNCTION("""COMPUTED_VALUE"""),"MX")</f>
        <v>MX</v>
      </c>
      <c r="B158" s="14" t="str">
        <f ca="1">IFERROR(__xludf.DUMMYFUNCTION("""COMPUTED_VALUE"""),"Mexico")</f>
        <v>Mexico</v>
      </c>
      <c r="C158" s="14" t="str">
        <f ca="1">IFERROR(__xludf.DUMMYFUNCTION("""COMPUTED_VALUE"""),"المكسيك")</f>
        <v>المكسيك</v>
      </c>
      <c r="D158" s="14" t="str">
        <f ca="1">IFERROR(__xludf.DUMMYFUNCTION("""COMPUTED_VALUE"""),"Мексико")</f>
        <v>Мексико</v>
      </c>
      <c r="E158" s="14" t="str">
        <f ca="1">IFERROR(__xludf.DUMMYFUNCTION("""COMPUTED_VALUE"""),"México")</f>
        <v>México</v>
      </c>
      <c r="F158" s="14" t="str">
        <f ca="1">IFERROR(__xludf.DUMMYFUNCTION("""COMPUTED_VALUE"""),"Мексіка")</f>
        <v>Мексіка</v>
      </c>
      <c r="G158" s="14" t="str">
        <f ca="1">IFERROR(__xludf.DUMMYFUNCTION("""COMPUTED_VALUE"""),"Mexiko")</f>
        <v>Mexiko</v>
      </c>
      <c r="H158" s="14" t="str">
        <f ca="1">IFERROR(__xludf.DUMMYFUNCTION("""COMPUTED_VALUE"""),"Mexiko")</f>
        <v>Mexiko</v>
      </c>
      <c r="I158" s="14" t="str">
        <f ca="1">IFERROR(__xludf.DUMMYFUNCTION("""COMPUTED_VALUE"""),"México")</f>
        <v>México</v>
      </c>
      <c r="J158" s="14" t="str">
        <f ca="1">IFERROR(__xludf.DUMMYFUNCTION("""COMPUTED_VALUE"""),"Meksiko")</f>
        <v>Meksiko</v>
      </c>
      <c r="K158" s="14" t="str">
        <f ca="1">IFERROR(__xludf.DUMMYFUNCTION("""COMPUTED_VALUE"""),"Μεξικό")</f>
        <v>Μεξικό</v>
      </c>
      <c r="L158" s="14" t="str">
        <f ca="1">IFERROR(__xludf.DUMMYFUNCTION("""COMPUTED_VALUE"""),"ΜΕΞΙΚΟ")</f>
        <v>ΜΕΞΙΚΟ</v>
      </c>
      <c r="M158" s="14" t="str">
        <f ca="1">IFERROR(__xludf.DUMMYFUNCTION("""COMPUTED_VALUE"""),"Meksiko")</f>
        <v>Meksiko</v>
      </c>
      <c r="N158" s="14" t="str">
        <f ca="1">IFERROR(__xludf.DUMMYFUNCTION("""COMPUTED_VALUE"""),"Mexikó")</f>
        <v>Mexikó</v>
      </c>
      <c r="O158" s="14" t="str">
        <f ca="1">IFERROR(__xludf.DUMMYFUNCTION("""COMPUTED_VALUE"""),"Meksiko")</f>
        <v>Meksiko</v>
      </c>
      <c r="P158" s="14" t="str">
        <f ca="1">IFERROR(__xludf.DUMMYFUNCTION("""COMPUTED_VALUE"""),"Messico")</f>
        <v>Messico</v>
      </c>
      <c r="Q158" s="14" t="str">
        <f ca="1">IFERROR(__xludf.DUMMYFUNCTION("""COMPUTED_VALUE"""),"멕시코")</f>
        <v>멕시코</v>
      </c>
      <c r="R158" s="14" t="str">
        <f ca="1">IFERROR(__xludf.DUMMYFUNCTION("""COMPUTED_VALUE"""),"Meksyk")</f>
        <v>Meksyk</v>
      </c>
      <c r="S158" s="14" t="str">
        <f ca="1">IFERROR(__xludf.DUMMYFUNCTION("""COMPUTED_VALUE"""),"México")</f>
        <v>México</v>
      </c>
      <c r="T158" s="14" t="str">
        <f ca="1">IFERROR(__xludf.DUMMYFUNCTION("""COMPUTED_VALUE"""),"Mexic")</f>
        <v>Mexic</v>
      </c>
      <c r="U158" s="14" t="str">
        <f ca="1">IFERROR(__xludf.DUMMYFUNCTION("""COMPUTED_VALUE"""),"Meksiko")</f>
        <v>Meksiko</v>
      </c>
      <c r="V158" s="14" t="str">
        <f ca="1">IFERROR(__xludf.DUMMYFUNCTION("""COMPUTED_VALUE"""),"Мексика")</f>
        <v>Мексика</v>
      </c>
      <c r="W158" s="14" t="str">
        <f ca="1">IFERROR(__xludf.DUMMYFUNCTION("""COMPUTED_VALUE"""),"Mexiko")</f>
        <v>Mexiko</v>
      </c>
      <c r="X158" s="14" t="str">
        <f ca="1">IFERROR(__xludf.DUMMYFUNCTION("""COMPUTED_VALUE"""),"Mehika")</f>
        <v>Mehika</v>
      </c>
      <c r="Y158" s="14" t="str">
        <f ca="1">IFERROR(__xludf.DUMMYFUNCTION("""COMPUTED_VALUE"""),"Mexiko")</f>
        <v>Mexiko</v>
      </c>
      <c r="Z158" s="14" t="str">
        <f ca="1">IFERROR(__xludf.DUMMYFUNCTION("""COMPUTED_VALUE"""),"เม็กซิโก")</f>
        <v>เม็กซิโก</v>
      </c>
      <c r="AA158" s="14" t="str">
        <f ca="1">IFERROR(__xludf.DUMMYFUNCTION("""COMPUTED_VALUE"""),"Meksika")</f>
        <v>Meksika</v>
      </c>
      <c r="AB158" s="14" t="str">
        <f ca="1">IFERROR(__xludf.DUMMYFUNCTION("""COMPUTED_VALUE"""),"MEKSİKA")</f>
        <v>MEKSİKA</v>
      </c>
      <c r="AC158" s="14" t="str">
        <f ca="1">IFERROR(__xludf.DUMMYFUNCTION("""COMPUTED_VALUE"""),"Мексика")</f>
        <v>Мексика</v>
      </c>
      <c r="AD158" s="14" t="str">
        <f ca="1">IFERROR(__xludf.DUMMYFUNCTION("""COMPUTED_VALUE"""),"México")</f>
        <v>México</v>
      </c>
      <c r="AE158" s="14" t="str">
        <f ca="1">IFERROR(__xludf.DUMMYFUNCTION("""COMPUTED_VALUE"""),"Мексика")</f>
        <v>Мексика</v>
      </c>
      <c r="AF158" s="14"/>
    </row>
    <row r="159" spans="1:32" ht="13" x14ac:dyDescent="0.15">
      <c r="A159" s="14" t="str">
        <f ca="1">IFERROR(__xludf.DUMMYFUNCTION("""COMPUTED_VALUE"""),"MY")</f>
        <v>MY</v>
      </c>
      <c r="B159" s="14" t="str">
        <f ca="1">IFERROR(__xludf.DUMMYFUNCTION("""COMPUTED_VALUE"""),"Malaysia")</f>
        <v>Malaysia</v>
      </c>
      <c r="C159" s="14" t="str">
        <f ca="1">IFERROR(__xludf.DUMMYFUNCTION("""COMPUTED_VALUE"""),"ماليزيا")</f>
        <v>ماليزيا</v>
      </c>
      <c r="D159" s="14" t="str">
        <f ca="1">IFERROR(__xludf.DUMMYFUNCTION("""COMPUTED_VALUE"""),"Малайзия")</f>
        <v>Малайзия</v>
      </c>
      <c r="E159" s="14" t="str">
        <f ca="1">IFERROR(__xludf.DUMMYFUNCTION("""COMPUTED_VALUE"""),"Malásia")</f>
        <v>Malásia</v>
      </c>
      <c r="F159" s="14" t="str">
        <f ca="1">IFERROR(__xludf.DUMMYFUNCTION("""COMPUTED_VALUE"""),"Малайзія")</f>
        <v>Малайзія</v>
      </c>
      <c r="G159" s="14" t="str">
        <f ca="1">IFERROR(__xludf.DUMMYFUNCTION("""COMPUTED_VALUE"""),"Malajsie")</f>
        <v>Malajsie</v>
      </c>
      <c r="H159" s="14" t="str">
        <f ca="1">IFERROR(__xludf.DUMMYFUNCTION("""COMPUTED_VALUE"""),"Malaysia")</f>
        <v>Malaysia</v>
      </c>
      <c r="I159" s="14" t="str">
        <f ca="1">IFERROR(__xludf.DUMMYFUNCTION("""COMPUTED_VALUE"""),"Malasia")</f>
        <v>Malasia</v>
      </c>
      <c r="J159" s="14" t="str">
        <f ca="1">IFERROR(__xludf.DUMMYFUNCTION("""COMPUTED_VALUE"""),"Malesia")</f>
        <v>Malesia</v>
      </c>
      <c r="K159" s="14" t="str">
        <f ca="1">IFERROR(__xludf.DUMMYFUNCTION("""COMPUTED_VALUE"""),"Μαλαισία")</f>
        <v>Μαλαισία</v>
      </c>
      <c r="L159" s="14" t="str">
        <f ca="1">IFERROR(__xludf.DUMMYFUNCTION("""COMPUTED_VALUE"""),"ΜΑΛΑΙΣΙΑ")</f>
        <v>ΜΑΛΑΙΣΙΑ</v>
      </c>
      <c r="M159" s="14" t="str">
        <f ca="1">IFERROR(__xludf.DUMMYFUNCTION("""COMPUTED_VALUE"""),"Malezija")</f>
        <v>Malezija</v>
      </c>
      <c r="N159" s="14" t="str">
        <f ca="1">IFERROR(__xludf.DUMMYFUNCTION("""COMPUTED_VALUE"""),"Malajzia")</f>
        <v>Malajzia</v>
      </c>
      <c r="O159" s="14" t="str">
        <f ca="1">IFERROR(__xludf.DUMMYFUNCTION("""COMPUTED_VALUE"""),"Malaysia")</f>
        <v>Malaysia</v>
      </c>
      <c r="P159" s="14" t="str">
        <f ca="1">IFERROR(__xludf.DUMMYFUNCTION("""COMPUTED_VALUE"""),"Malaysia")</f>
        <v>Malaysia</v>
      </c>
      <c r="Q159" s="14" t="str">
        <f ca="1">IFERROR(__xludf.DUMMYFUNCTION("""COMPUTED_VALUE"""),"말레이시아")</f>
        <v>말레이시아</v>
      </c>
      <c r="R159" s="14" t="str">
        <f ca="1">IFERROR(__xludf.DUMMYFUNCTION("""COMPUTED_VALUE"""),"Malezja")</f>
        <v>Malezja</v>
      </c>
      <c r="S159" s="14" t="str">
        <f ca="1">IFERROR(__xludf.DUMMYFUNCTION("""COMPUTED_VALUE"""),"Malásia")</f>
        <v>Malásia</v>
      </c>
      <c r="T159" s="14" t="str">
        <f ca="1">IFERROR(__xludf.DUMMYFUNCTION("""COMPUTED_VALUE"""),"Malaezia")</f>
        <v>Malaezia</v>
      </c>
      <c r="U159" s="14" t="str">
        <f ca="1">IFERROR(__xludf.DUMMYFUNCTION("""COMPUTED_VALUE"""),"Malezija")</f>
        <v>Malezija</v>
      </c>
      <c r="V159" s="14" t="str">
        <f ca="1">IFERROR(__xludf.DUMMYFUNCTION("""COMPUTED_VALUE"""),"Малайзия")</f>
        <v>Малайзия</v>
      </c>
      <c r="W159" s="14" t="str">
        <f ca="1">IFERROR(__xludf.DUMMYFUNCTION("""COMPUTED_VALUE"""),"Malaysia")</f>
        <v>Malaysia</v>
      </c>
      <c r="X159" s="14" t="str">
        <f ca="1">IFERROR(__xludf.DUMMYFUNCTION("""COMPUTED_VALUE"""),"Malezija")</f>
        <v>Malezija</v>
      </c>
      <c r="Y159" s="14" t="str">
        <f ca="1">IFERROR(__xludf.DUMMYFUNCTION("""COMPUTED_VALUE"""),"Malajzia")</f>
        <v>Malajzia</v>
      </c>
      <c r="Z159" s="14" t="str">
        <f ca="1">IFERROR(__xludf.DUMMYFUNCTION("""COMPUTED_VALUE"""),"มาเลเซีย")</f>
        <v>มาเลเซีย</v>
      </c>
      <c r="AA159" s="14" t="str">
        <f ca="1">IFERROR(__xludf.DUMMYFUNCTION("""COMPUTED_VALUE"""),"Malezya")</f>
        <v>Malezya</v>
      </c>
      <c r="AB159" s="14" t="str">
        <f ca="1">IFERROR(__xludf.DUMMYFUNCTION("""COMPUTED_VALUE"""),"MALEZYA")</f>
        <v>MALEZYA</v>
      </c>
      <c r="AC159" s="14" t="str">
        <f ca="1">IFERROR(__xludf.DUMMYFUNCTION("""COMPUTED_VALUE"""),"Малайзія")</f>
        <v>Малайзія</v>
      </c>
      <c r="AD159" s="14" t="str">
        <f ca="1">IFERROR(__xludf.DUMMYFUNCTION("""COMPUTED_VALUE"""),"Mã Lai")</f>
        <v>Mã Lai</v>
      </c>
      <c r="AE159" s="14" t="str">
        <f ca="1">IFERROR(__xludf.DUMMYFUNCTION("""COMPUTED_VALUE"""),"Малайзия")</f>
        <v>Малайзия</v>
      </c>
      <c r="AF159" s="14"/>
    </row>
    <row r="160" spans="1:32" ht="13" x14ac:dyDescent="0.15">
      <c r="A160" s="14" t="str">
        <f ca="1">IFERROR(__xludf.DUMMYFUNCTION("""COMPUTED_VALUE"""),"MZ")</f>
        <v>MZ</v>
      </c>
      <c r="B160" s="14" t="str">
        <f ca="1">IFERROR(__xludf.DUMMYFUNCTION("""COMPUTED_VALUE"""),"Mozambique")</f>
        <v>Mozambique</v>
      </c>
      <c r="C160" s="14" t="str">
        <f ca="1">IFERROR(__xludf.DUMMYFUNCTION("""COMPUTED_VALUE"""),"موزمبيق")</f>
        <v>موزمبيق</v>
      </c>
      <c r="D160" s="14" t="str">
        <f ca="1">IFERROR(__xludf.DUMMYFUNCTION("""COMPUTED_VALUE"""),"Мозамбик")</f>
        <v>Мозамбик</v>
      </c>
      <c r="E160" s="14" t="str">
        <f ca="1">IFERROR(__xludf.DUMMYFUNCTION("""COMPUTED_VALUE"""),"Moçambique")</f>
        <v>Moçambique</v>
      </c>
      <c r="F160" s="14" t="str">
        <f ca="1">IFERROR(__xludf.DUMMYFUNCTION("""COMPUTED_VALUE"""),"Мазамбік")</f>
        <v>Мазамбік</v>
      </c>
      <c r="G160" s="14" t="str">
        <f ca="1">IFERROR(__xludf.DUMMYFUNCTION("""COMPUTED_VALUE"""),"Mosambik")</f>
        <v>Mosambik</v>
      </c>
      <c r="H160" s="14" t="str">
        <f ca="1">IFERROR(__xludf.DUMMYFUNCTION("""COMPUTED_VALUE"""),"Mosambik")</f>
        <v>Mosambik</v>
      </c>
      <c r="I160" s="14" t="str">
        <f ca="1">IFERROR(__xludf.DUMMYFUNCTION("""COMPUTED_VALUE"""),"Mozambique")</f>
        <v>Mozambique</v>
      </c>
      <c r="J160" s="14" t="str">
        <f ca="1">IFERROR(__xludf.DUMMYFUNCTION("""COMPUTED_VALUE"""),"Mosambik")</f>
        <v>Mosambik</v>
      </c>
      <c r="K160" s="14" t="str">
        <f ca="1">IFERROR(__xludf.DUMMYFUNCTION("""COMPUTED_VALUE"""),"Μοζαμβίκη")</f>
        <v>Μοζαμβίκη</v>
      </c>
      <c r="L160" s="14" t="str">
        <f ca="1">IFERROR(__xludf.DUMMYFUNCTION("""COMPUTED_VALUE"""),"ΜΟΖΑΜΒΙΚΗ")</f>
        <v>ΜΟΖΑΜΒΙΚΗ</v>
      </c>
      <c r="M160" s="14" t="str">
        <f ca="1">IFERROR(__xludf.DUMMYFUNCTION("""COMPUTED_VALUE"""),"Mozambik")</f>
        <v>Mozambik</v>
      </c>
      <c r="N160" s="14" t="str">
        <f ca="1">IFERROR(__xludf.DUMMYFUNCTION("""COMPUTED_VALUE"""),"Mozambik")</f>
        <v>Mozambik</v>
      </c>
      <c r="O160" s="14" t="str">
        <f ca="1">IFERROR(__xludf.DUMMYFUNCTION("""COMPUTED_VALUE"""),"Mozambik")</f>
        <v>Mozambik</v>
      </c>
      <c r="P160" s="14" t="str">
        <f ca="1">IFERROR(__xludf.DUMMYFUNCTION("""COMPUTED_VALUE"""),"Mozambico")</f>
        <v>Mozambico</v>
      </c>
      <c r="Q160" s="14" t="str">
        <f ca="1">IFERROR(__xludf.DUMMYFUNCTION("""COMPUTED_VALUE"""),"모잠비크")</f>
        <v>모잠비크</v>
      </c>
      <c r="R160" s="14" t="str">
        <f ca="1">IFERROR(__xludf.DUMMYFUNCTION("""COMPUTED_VALUE"""),"Mozambik")</f>
        <v>Mozambik</v>
      </c>
      <c r="S160" s="14" t="str">
        <f ca="1">IFERROR(__xludf.DUMMYFUNCTION("""COMPUTED_VALUE"""),"Moçambique")</f>
        <v>Moçambique</v>
      </c>
      <c r="T160" s="14" t="str">
        <f ca="1">IFERROR(__xludf.DUMMYFUNCTION("""COMPUTED_VALUE"""),"Mozambic")</f>
        <v>Mozambic</v>
      </c>
      <c r="U160" s="14" t="str">
        <f ca="1">IFERROR(__xludf.DUMMYFUNCTION("""COMPUTED_VALUE"""),"Mozambik")</f>
        <v>Mozambik</v>
      </c>
      <c r="V160" s="14" t="str">
        <f ca="1">IFERROR(__xludf.DUMMYFUNCTION("""COMPUTED_VALUE"""),"Мозамбик")</f>
        <v>Мозамбик</v>
      </c>
      <c r="W160" s="14" t="str">
        <f ca="1">IFERROR(__xludf.DUMMYFUNCTION("""COMPUTED_VALUE"""),"Moçambique")</f>
        <v>Moçambique</v>
      </c>
      <c r="X160" s="14" t="str">
        <f ca="1">IFERROR(__xludf.DUMMYFUNCTION("""COMPUTED_VALUE"""),"Mozambik")</f>
        <v>Mozambik</v>
      </c>
      <c r="Y160" s="14" t="str">
        <f ca="1">IFERROR(__xludf.DUMMYFUNCTION("""COMPUTED_VALUE"""),"Mozambik")</f>
        <v>Mozambik</v>
      </c>
      <c r="Z160" s="14" t="str">
        <f ca="1">IFERROR(__xludf.DUMMYFUNCTION("""COMPUTED_VALUE"""),"โมซัมบิก")</f>
        <v>โมซัมบิก</v>
      </c>
      <c r="AA160" s="14" t="str">
        <f ca="1">IFERROR(__xludf.DUMMYFUNCTION("""COMPUTED_VALUE"""),"Mozambik")</f>
        <v>Mozambik</v>
      </c>
      <c r="AB160" s="14" t="str">
        <f ca="1">IFERROR(__xludf.DUMMYFUNCTION("""COMPUTED_VALUE"""),"MOZAMBİK")</f>
        <v>MOZAMBİK</v>
      </c>
      <c r="AC160" s="14" t="str">
        <f ca="1">IFERROR(__xludf.DUMMYFUNCTION("""COMPUTED_VALUE"""),"Мозамбік")</f>
        <v>Мозамбік</v>
      </c>
      <c r="AD160" s="14" t="str">
        <f ca="1">IFERROR(__xludf.DUMMYFUNCTION("""COMPUTED_VALUE"""),"Mozambique")</f>
        <v>Mozambique</v>
      </c>
      <c r="AE160" s="14" t="str">
        <f ca="1">IFERROR(__xludf.DUMMYFUNCTION("""COMPUTED_VALUE"""),"Мозамбик")</f>
        <v>Мозамбик</v>
      </c>
      <c r="AF160" s="14"/>
    </row>
    <row r="161" spans="1:32" ht="13" x14ac:dyDescent="0.15">
      <c r="A161" s="14" t="str">
        <f ca="1">IFERROR(__xludf.DUMMYFUNCTION("""COMPUTED_VALUE"""),"NA")</f>
        <v>NA</v>
      </c>
      <c r="B161" s="14" t="str">
        <f ca="1">IFERROR(__xludf.DUMMYFUNCTION("""COMPUTED_VALUE"""),"Namibia")</f>
        <v>Namibia</v>
      </c>
      <c r="C161" s="14" t="str">
        <f ca="1">IFERROR(__xludf.DUMMYFUNCTION("""COMPUTED_VALUE"""),"ناميبيا")</f>
        <v>ناميبيا</v>
      </c>
      <c r="D161" s="14" t="str">
        <f ca="1">IFERROR(__xludf.DUMMYFUNCTION("""COMPUTED_VALUE"""),"Намибия")</f>
        <v>Намибия</v>
      </c>
      <c r="E161" s="14" t="str">
        <f ca="1">IFERROR(__xludf.DUMMYFUNCTION("""COMPUTED_VALUE"""),"Namíbia")</f>
        <v>Namíbia</v>
      </c>
      <c r="F161" s="14" t="str">
        <f ca="1">IFERROR(__xludf.DUMMYFUNCTION("""COMPUTED_VALUE"""),"Намібія")</f>
        <v>Намібія</v>
      </c>
      <c r="G161" s="14" t="str">
        <f ca="1">IFERROR(__xludf.DUMMYFUNCTION("""COMPUTED_VALUE"""),"Namibie")</f>
        <v>Namibie</v>
      </c>
      <c r="H161" s="14" t="str">
        <f ca="1">IFERROR(__xludf.DUMMYFUNCTION("""COMPUTED_VALUE"""),"Namibia")</f>
        <v>Namibia</v>
      </c>
      <c r="I161" s="14" t="str">
        <f ca="1">IFERROR(__xludf.DUMMYFUNCTION("""COMPUTED_VALUE"""),"Namibia")</f>
        <v>Namibia</v>
      </c>
      <c r="J161" s="14" t="str">
        <f ca="1">IFERROR(__xludf.DUMMYFUNCTION("""COMPUTED_VALUE"""),"Namibia")</f>
        <v>Namibia</v>
      </c>
      <c r="K161" s="14" t="str">
        <f ca="1">IFERROR(__xludf.DUMMYFUNCTION("""COMPUTED_VALUE"""),"Ναμίμπια")</f>
        <v>Ναμίμπια</v>
      </c>
      <c r="L161" s="14" t="str">
        <f ca="1">IFERROR(__xludf.DUMMYFUNCTION("""COMPUTED_VALUE"""),"ΝΑΜΙΜΠΙΑ")</f>
        <v>ΝΑΜΙΜΠΙΑ</v>
      </c>
      <c r="M161" s="14" t="str">
        <f ca="1">IFERROR(__xludf.DUMMYFUNCTION("""COMPUTED_VALUE"""),"Namibija")</f>
        <v>Namibija</v>
      </c>
      <c r="N161" s="14" t="str">
        <f ca="1">IFERROR(__xludf.DUMMYFUNCTION("""COMPUTED_VALUE"""),"Namíbia")</f>
        <v>Namíbia</v>
      </c>
      <c r="O161" s="14" t="str">
        <f ca="1">IFERROR(__xludf.DUMMYFUNCTION("""COMPUTED_VALUE"""),"Namibia")</f>
        <v>Namibia</v>
      </c>
      <c r="P161" s="14" t="str">
        <f ca="1">IFERROR(__xludf.DUMMYFUNCTION("""COMPUTED_VALUE"""),"Namibia")</f>
        <v>Namibia</v>
      </c>
      <c r="Q161" s="14" t="str">
        <f ca="1">IFERROR(__xludf.DUMMYFUNCTION("""COMPUTED_VALUE"""),"나미비아")</f>
        <v>나미비아</v>
      </c>
      <c r="R161" s="14" t="str">
        <f ca="1">IFERROR(__xludf.DUMMYFUNCTION("""COMPUTED_VALUE"""),"Namibia")</f>
        <v>Namibia</v>
      </c>
      <c r="S161" s="14" t="str">
        <f ca="1">IFERROR(__xludf.DUMMYFUNCTION("""COMPUTED_VALUE"""),"Namíbia")</f>
        <v>Namíbia</v>
      </c>
      <c r="T161" s="14" t="str">
        <f ca="1">IFERROR(__xludf.DUMMYFUNCTION("""COMPUTED_VALUE"""),"Namibia")</f>
        <v>Namibia</v>
      </c>
      <c r="U161" s="14" t="str">
        <f ca="1">IFERROR(__xludf.DUMMYFUNCTION("""COMPUTED_VALUE"""),"Namibija")</f>
        <v>Namibija</v>
      </c>
      <c r="V161" s="14" t="str">
        <f ca="1">IFERROR(__xludf.DUMMYFUNCTION("""COMPUTED_VALUE"""),"Намибия")</f>
        <v>Намибия</v>
      </c>
      <c r="W161" s="14" t="str">
        <f ca="1">IFERROR(__xludf.DUMMYFUNCTION("""COMPUTED_VALUE"""),"Namibia")</f>
        <v>Namibia</v>
      </c>
      <c r="X161" s="14" t="str">
        <f ca="1">IFERROR(__xludf.DUMMYFUNCTION("""COMPUTED_VALUE"""),"Namibija")</f>
        <v>Namibija</v>
      </c>
      <c r="Y161" s="14" t="str">
        <f ca="1">IFERROR(__xludf.DUMMYFUNCTION("""COMPUTED_VALUE"""),"Namíbia")</f>
        <v>Namíbia</v>
      </c>
      <c r="Z161" s="14" t="str">
        <f ca="1">IFERROR(__xludf.DUMMYFUNCTION("""COMPUTED_VALUE"""),"นามิเบีย")</f>
        <v>นามิเบีย</v>
      </c>
      <c r="AA161" s="14" t="str">
        <f ca="1">IFERROR(__xludf.DUMMYFUNCTION("""COMPUTED_VALUE"""),"Namibya")</f>
        <v>Namibya</v>
      </c>
      <c r="AB161" s="14" t="str">
        <f ca="1">IFERROR(__xludf.DUMMYFUNCTION("""COMPUTED_VALUE"""),"NAMİBYA")</f>
        <v>NAMİBYA</v>
      </c>
      <c r="AC161" s="14" t="str">
        <f ca="1">IFERROR(__xludf.DUMMYFUNCTION("""COMPUTED_VALUE"""),"Намібія")</f>
        <v>Намібія</v>
      </c>
      <c r="AD161" s="14" t="str">
        <f ca="1">IFERROR(__xludf.DUMMYFUNCTION("""COMPUTED_VALUE"""),"Namibia")</f>
        <v>Namibia</v>
      </c>
      <c r="AE161" s="14" t="str">
        <f ca="1">IFERROR(__xludf.DUMMYFUNCTION("""COMPUTED_VALUE"""),"Намибия")</f>
        <v>Намибия</v>
      </c>
      <c r="AF161" s="14"/>
    </row>
    <row r="162" spans="1:32" ht="13" x14ac:dyDescent="0.15">
      <c r="A162" s="14" t="str">
        <f ca="1">IFERROR(__xludf.DUMMYFUNCTION("""COMPUTED_VALUE"""),"NC")</f>
        <v>NC</v>
      </c>
      <c r="B162" s="14" t="str">
        <f ca="1">IFERROR(__xludf.DUMMYFUNCTION("""COMPUTED_VALUE"""),"New Caledonia")</f>
        <v>New Caledonia</v>
      </c>
      <c r="C162" s="14" t="str">
        <f ca="1">IFERROR(__xludf.DUMMYFUNCTION("""COMPUTED_VALUE"""),"كاليدونيا الجديدة")</f>
        <v>كاليدونيا الجديدة</v>
      </c>
      <c r="D162" s="14" t="str">
        <f ca="1">IFERROR(__xludf.DUMMYFUNCTION("""COMPUTED_VALUE"""),"Нова Каледония")</f>
        <v>Нова Каледония</v>
      </c>
      <c r="E162" s="14" t="str">
        <f ca="1">IFERROR(__xludf.DUMMYFUNCTION("""COMPUTED_VALUE"""),"Nova Caledônia")</f>
        <v>Nova Caledônia</v>
      </c>
      <c r="F162" s="14" t="str">
        <f ca="1">IFERROR(__xludf.DUMMYFUNCTION("""COMPUTED_VALUE"""),"Новая Каледонія")</f>
        <v>Новая Каледонія</v>
      </c>
      <c r="G162" s="14" t="str">
        <f ca="1">IFERROR(__xludf.DUMMYFUNCTION("""COMPUTED_VALUE"""),"Nová Kaledonie")</f>
        <v>Nová Kaledonie</v>
      </c>
      <c r="H162" s="14" t="str">
        <f ca="1">IFERROR(__xludf.DUMMYFUNCTION("""COMPUTED_VALUE"""),"Neukaledonien")</f>
        <v>Neukaledonien</v>
      </c>
      <c r="I162" s="14" t="str">
        <f ca="1">IFERROR(__xludf.DUMMYFUNCTION("""COMPUTED_VALUE"""),"Nueva Caledonia")</f>
        <v>Nueva Caledonia</v>
      </c>
      <c r="J162" s="14" t="str">
        <f ca="1">IFERROR(__xludf.DUMMYFUNCTION("""COMPUTED_VALUE"""),"Uusi-Kaledonia")</f>
        <v>Uusi-Kaledonia</v>
      </c>
      <c r="K162" s="14" t="str">
        <f ca="1">IFERROR(__xludf.DUMMYFUNCTION("""COMPUTED_VALUE"""),"Νέα Καληδονία")</f>
        <v>Νέα Καληδονία</v>
      </c>
      <c r="L162" s="14" t="str">
        <f ca="1">IFERROR(__xludf.DUMMYFUNCTION("""COMPUTED_VALUE"""),"ΝΕΑ ΚΑΛΗΔΟΝΙΑ")</f>
        <v>ΝΕΑ ΚΑΛΗΔΟΝΙΑ</v>
      </c>
      <c r="M162" s="14" t="str">
        <f ca="1">IFERROR(__xludf.DUMMYFUNCTION("""COMPUTED_VALUE"""),"Nova Kaledonija")</f>
        <v>Nova Kaledonija</v>
      </c>
      <c r="N162" s="14" t="str">
        <f ca="1">IFERROR(__xludf.DUMMYFUNCTION("""COMPUTED_VALUE"""),"Új-Kaledónia")</f>
        <v>Új-Kaledónia</v>
      </c>
      <c r="O162" s="14" t="str">
        <f ca="1">IFERROR(__xludf.DUMMYFUNCTION("""COMPUTED_VALUE"""),"Kaledonia Baru")</f>
        <v>Kaledonia Baru</v>
      </c>
      <c r="P162" s="14" t="str">
        <f ca="1">IFERROR(__xludf.DUMMYFUNCTION("""COMPUTED_VALUE"""),"Nuova Caledonia")</f>
        <v>Nuova Caledonia</v>
      </c>
      <c r="Q162" s="14" t="str">
        <f ca="1">IFERROR(__xludf.DUMMYFUNCTION("""COMPUTED_VALUE"""),"누벨칼레도니")</f>
        <v>누벨칼레도니</v>
      </c>
      <c r="R162" s="14" t="str">
        <f ca="1">IFERROR(__xludf.DUMMYFUNCTION("""COMPUTED_VALUE"""),"Nowa Kaledonia")</f>
        <v>Nowa Kaledonia</v>
      </c>
      <c r="S162" s="14" t="str">
        <f ca="1">IFERROR(__xludf.DUMMYFUNCTION("""COMPUTED_VALUE"""),"Nova Caledônia")</f>
        <v>Nova Caledônia</v>
      </c>
      <c r="T162" s="14" t="str">
        <f ca="1">IFERROR(__xludf.DUMMYFUNCTION("""COMPUTED_VALUE"""),"Noua Caledonie")</f>
        <v>Noua Caledonie</v>
      </c>
      <c r="U162" s="14" t="str">
        <f ca="1">IFERROR(__xludf.DUMMYFUNCTION("""COMPUTED_VALUE"""),"Nova Kaledonija")</f>
        <v>Nova Kaledonija</v>
      </c>
      <c r="V162" s="14" t="str">
        <f ca="1">IFERROR(__xludf.DUMMYFUNCTION("""COMPUTED_VALUE"""),"Новая Каледония")</f>
        <v>Новая Каледония</v>
      </c>
      <c r="W162" s="14" t="str">
        <f ca="1">IFERROR(__xludf.DUMMYFUNCTION("""COMPUTED_VALUE"""),"Nya Kaledonien")</f>
        <v>Nya Kaledonien</v>
      </c>
      <c r="X162" s="14" t="str">
        <f ca="1">IFERROR(__xludf.DUMMYFUNCTION("""COMPUTED_VALUE"""),"Nova Kaledonija")</f>
        <v>Nova Kaledonija</v>
      </c>
      <c r="Y162" s="14" t="str">
        <f ca="1">IFERROR(__xludf.DUMMYFUNCTION("""COMPUTED_VALUE"""),"Nová Kaledónia")</f>
        <v>Nová Kaledónia</v>
      </c>
      <c r="Z162" s="14" t="str">
        <f ca="1">IFERROR(__xludf.DUMMYFUNCTION("""COMPUTED_VALUE"""),"นิวแคลิโดเนีย")</f>
        <v>นิวแคลิโดเนีย</v>
      </c>
      <c r="AA162" s="14" t="str">
        <f ca="1">IFERROR(__xludf.DUMMYFUNCTION("""COMPUTED_VALUE"""),"Yeni Kaledonya")</f>
        <v>Yeni Kaledonya</v>
      </c>
      <c r="AB162" s="14" t="str">
        <f ca="1">IFERROR(__xludf.DUMMYFUNCTION("""COMPUTED_VALUE"""),"YENİ KALEDONYA")</f>
        <v>YENİ KALEDONYA</v>
      </c>
      <c r="AC162" s="14" t="str">
        <f ca="1">IFERROR(__xludf.DUMMYFUNCTION("""COMPUTED_VALUE"""),"Нова Каледонія")</f>
        <v>Нова Каледонія</v>
      </c>
      <c r="AD162" s="14" t="str">
        <f ca="1">IFERROR(__xludf.DUMMYFUNCTION("""COMPUTED_VALUE"""),"Nouvelle-Calédonie")</f>
        <v>Nouvelle-Calédonie</v>
      </c>
      <c r="AE162" s="14" t="str">
        <f ca="1">IFERROR(__xludf.DUMMYFUNCTION("""COMPUTED_VALUE"""),"Жаңа Каледония")</f>
        <v>Жаңа Каледония</v>
      </c>
      <c r="AF162" s="14"/>
    </row>
    <row r="163" spans="1:32" ht="13" x14ac:dyDescent="0.15">
      <c r="A163" s="14" t="str">
        <f ca="1">IFERROR(__xludf.DUMMYFUNCTION("""COMPUTED_VALUE"""),"NE")</f>
        <v>NE</v>
      </c>
      <c r="B163" s="14" t="str">
        <f ca="1">IFERROR(__xludf.DUMMYFUNCTION("""COMPUTED_VALUE"""),"Niger")</f>
        <v>Niger</v>
      </c>
      <c r="C163" s="14" t="str">
        <f ca="1">IFERROR(__xludf.DUMMYFUNCTION("""COMPUTED_VALUE"""),"النيجر")</f>
        <v>النيجر</v>
      </c>
      <c r="D163" s="14" t="str">
        <f ca="1">IFERROR(__xludf.DUMMYFUNCTION("""COMPUTED_VALUE"""),"Нигер")</f>
        <v>Нигер</v>
      </c>
      <c r="E163" s="14" t="str">
        <f ca="1">IFERROR(__xludf.DUMMYFUNCTION("""COMPUTED_VALUE"""),"Níger")</f>
        <v>Níger</v>
      </c>
      <c r="F163" s="14" t="str">
        <f ca="1">IFERROR(__xludf.DUMMYFUNCTION("""COMPUTED_VALUE"""),"Нігер")</f>
        <v>Нігер</v>
      </c>
      <c r="G163" s="14" t="str">
        <f ca="1">IFERROR(__xludf.DUMMYFUNCTION("""COMPUTED_VALUE"""),"Niger")</f>
        <v>Niger</v>
      </c>
      <c r="H163" s="14" t="str">
        <f ca="1">IFERROR(__xludf.DUMMYFUNCTION("""COMPUTED_VALUE"""),"Niger")</f>
        <v>Niger</v>
      </c>
      <c r="I163" s="14" t="str">
        <f ca="1">IFERROR(__xludf.DUMMYFUNCTION("""COMPUTED_VALUE"""),"Níger (el)")</f>
        <v>Níger (el)</v>
      </c>
      <c r="J163" s="14" t="str">
        <f ca="1">IFERROR(__xludf.DUMMYFUNCTION("""COMPUTED_VALUE"""),"Niger")</f>
        <v>Niger</v>
      </c>
      <c r="K163" s="14" t="str">
        <f ca="1">IFERROR(__xludf.DUMMYFUNCTION("""COMPUTED_VALUE"""),"Νίγηρας")</f>
        <v>Νίγηρας</v>
      </c>
      <c r="L163" s="14" t="str">
        <f ca="1">IFERROR(__xludf.DUMMYFUNCTION("""COMPUTED_VALUE"""),"ΝΙΓΗΡΑΣ")</f>
        <v>ΝΙΓΗΡΑΣ</v>
      </c>
      <c r="M163" s="14" t="str">
        <f ca="1">IFERROR(__xludf.DUMMYFUNCTION("""COMPUTED_VALUE"""),"Niger")</f>
        <v>Niger</v>
      </c>
      <c r="N163" s="14" t="str">
        <f ca="1">IFERROR(__xludf.DUMMYFUNCTION("""COMPUTED_VALUE"""),"Niger")</f>
        <v>Niger</v>
      </c>
      <c r="O163" s="14" t="str">
        <f ca="1">IFERROR(__xludf.DUMMYFUNCTION("""COMPUTED_VALUE"""),"Niger")</f>
        <v>Niger</v>
      </c>
      <c r="P163" s="14" t="str">
        <f ca="1">IFERROR(__xludf.DUMMYFUNCTION("""COMPUTED_VALUE"""),"Niger")</f>
        <v>Niger</v>
      </c>
      <c r="Q163" s="14" t="str">
        <f ca="1">IFERROR(__xludf.DUMMYFUNCTION("""COMPUTED_VALUE"""),"니제르")</f>
        <v>니제르</v>
      </c>
      <c r="R163" s="14" t="str">
        <f ca="1">IFERROR(__xludf.DUMMYFUNCTION("""COMPUTED_VALUE"""),"Niger")</f>
        <v>Niger</v>
      </c>
      <c r="S163" s="14" t="str">
        <f ca="1">IFERROR(__xludf.DUMMYFUNCTION("""COMPUTED_VALUE"""),"Níger")</f>
        <v>Níger</v>
      </c>
      <c r="T163" s="14" t="str">
        <f ca="1">IFERROR(__xludf.DUMMYFUNCTION("""COMPUTED_VALUE"""),"Niger")</f>
        <v>Niger</v>
      </c>
      <c r="U163" s="14" t="str">
        <f ca="1">IFERROR(__xludf.DUMMYFUNCTION("""COMPUTED_VALUE"""),"Niger")</f>
        <v>Niger</v>
      </c>
      <c r="V163" s="14" t="str">
        <f ca="1">IFERROR(__xludf.DUMMYFUNCTION("""COMPUTED_VALUE"""),"Нигер")</f>
        <v>Нигер</v>
      </c>
      <c r="W163" s="14" t="str">
        <f ca="1">IFERROR(__xludf.DUMMYFUNCTION("""COMPUTED_VALUE"""),"Niger")</f>
        <v>Niger</v>
      </c>
      <c r="X163" s="14" t="str">
        <f ca="1">IFERROR(__xludf.DUMMYFUNCTION("""COMPUTED_VALUE"""),"Niger")</f>
        <v>Niger</v>
      </c>
      <c r="Y163" s="14" t="str">
        <f ca="1">IFERROR(__xludf.DUMMYFUNCTION("""COMPUTED_VALUE"""),"Niger")</f>
        <v>Niger</v>
      </c>
      <c r="Z163" s="14" t="str">
        <f ca="1">IFERROR(__xludf.DUMMYFUNCTION("""COMPUTED_VALUE"""),"ไนเจอร์")</f>
        <v>ไนเจอร์</v>
      </c>
      <c r="AA163" s="14" t="str">
        <f ca="1">IFERROR(__xludf.DUMMYFUNCTION("""COMPUTED_VALUE"""),"Nijer")</f>
        <v>Nijer</v>
      </c>
      <c r="AB163" s="14" t="str">
        <f ca="1">IFERROR(__xludf.DUMMYFUNCTION("""COMPUTED_VALUE"""),"NİJER")</f>
        <v>NİJER</v>
      </c>
      <c r="AC163" s="14" t="str">
        <f ca="1">IFERROR(__xludf.DUMMYFUNCTION("""COMPUTED_VALUE"""),"Нігер")</f>
        <v>Нігер</v>
      </c>
      <c r="AD163" s="14" t="str">
        <f ca="1">IFERROR(__xludf.DUMMYFUNCTION("""COMPUTED_VALUE"""),"Niger")</f>
        <v>Niger</v>
      </c>
      <c r="AE163" s="14" t="str">
        <f ca="1">IFERROR(__xludf.DUMMYFUNCTION("""COMPUTED_VALUE"""),"Нигер")</f>
        <v>Нигер</v>
      </c>
      <c r="AF163" s="14"/>
    </row>
    <row r="164" spans="1:32" ht="13" x14ac:dyDescent="0.15">
      <c r="A164" s="14" t="str">
        <f ca="1">IFERROR(__xludf.DUMMYFUNCTION("""COMPUTED_VALUE"""),"NF")</f>
        <v>NF</v>
      </c>
      <c r="B164" s="14" t="str">
        <f ca="1">IFERROR(__xludf.DUMMYFUNCTION("""COMPUTED_VALUE"""),"Norfolk Island")</f>
        <v>Norfolk Island</v>
      </c>
      <c r="C164" s="14" t="str">
        <f ca="1">IFERROR(__xludf.DUMMYFUNCTION("""COMPUTED_VALUE"""),"جزيرة نورفوك")</f>
        <v>جزيرة نورفوك</v>
      </c>
      <c r="D164" s="14" t="str">
        <f ca="1">IFERROR(__xludf.DUMMYFUNCTION("""COMPUTED_VALUE"""),"Остров Норфолк")</f>
        <v>Остров Норфолк</v>
      </c>
      <c r="E164" s="14" t="str">
        <f ca="1">IFERROR(__xludf.DUMMYFUNCTION("""COMPUTED_VALUE"""),"Norfolk, Ilha")</f>
        <v>Norfolk, Ilha</v>
      </c>
      <c r="F164" s="14" t="str">
        <f ca="1">IFERROR(__xludf.DUMMYFUNCTION("""COMPUTED_VALUE"""),"Востраў Норфалк")</f>
        <v>Востраў Норфалк</v>
      </c>
      <c r="G164" s="14" t="str">
        <f ca="1">IFERROR(__xludf.DUMMYFUNCTION("""COMPUTED_VALUE"""),"Norfolk")</f>
        <v>Norfolk</v>
      </c>
      <c r="H164" s="14" t="str">
        <f ca="1">IFERROR(__xludf.DUMMYFUNCTION("""COMPUTED_VALUE"""),"Norfolkinsel")</f>
        <v>Norfolkinsel</v>
      </c>
      <c r="I164" s="14" t="str">
        <f ca="1">IFERROR(__xludf.DUMMYFUNCTION("""COMPUTED_VALUE"""),"Norfolk, Isla")</f>
        <v>Norfolk, Isla</v>
      </c>
      <c r="J164" s="14" t="str">
        <f ca="1">IFERROR(__xludf.DUMMYFUNCTION("""COMPUTED_VALUE"""),"Norfolkinsaari")</f>
        <v>Norfolkinsaari</v>
      </c>
      <c r="K164" s="14" t="str">
        <f ca="1">IFERROR(__xludf.DUMMYFUNCTION("""COMPUTED_VALUE"""),"Νησί Νόρφολκ")</f>
        <v>Νησί Νόρφολκ</v>
      </c>
      <c r="L164" s="14" t="str">
        <f ca="1">IFERROR(__xludf.DUMMYFUNCTION("""COMPUTED_VALUE"""),"ΝΗΣΙ ΝΟΡΦΟΛΚ")</f>
        <v>ΝΗΣΙ ΝΟΡΦΟΛΚ</v>
      </c>
      <c r="M164" s="14" t="str">
        <f ca="1">IFERROR(__xludf.DUMMYFUNCTION("""COMPUTED_VALUE"""),"Norfolk Otok")</f>
        <v>Norfolk Otok</v>
      </c>
      <c r="N164" s="14" t="str">
        <f ca="1">IFERROR(__xludf.DUMMYFUNCTION("""COMPUTED_VALUE"""),"Norfolk-sziget")</f>
        <v>Norfolk-sziget</v>
      </c>
      <c r="O164" s="14" t="str">
        <f ca="1">IFERROR(__xludf.DUMMYFUNCTION("""COMPUTED_VALUE"""),"Norfolk, Pulau")</f>
        <v>Norfolk, Pulau</v>
      </c>
      <c r="P164" s="14" t="str">
        <f ca="1">IFERROR(__xludf.DUMMYFUNCTION("""COMPUTED_VALUE"""),"Isola Norfolk")</f>
        <v>Isola Norfolk</v>
      </c>
      <c r="Q164" s="14" t="str">
        <f ca="1">IFERROR(__xludf.DUMMYFUNCTION("""COMPUTED_VALUE"""),"노퍽 섬")</f>
        <v>노퍽 섬</v>
      </c>
      <c r="R164" s="14" t="str">
        <f ca="1">IFERROR(__xludf.DUMMYFUNCTION("""COMPUTED_VALUE"""),"Norfolk")</f>
        <v>Norfolk</v>
      </c>
      <c r="S164" s="14" t="str">
        <f ca="1">IFERROR(__xludf.DUMMYFUNCTION("""COMPUTED_VALUE"""),"Norfolk, Ilha")</f>
        <v>Norfolk, Ilha</v>
      </c>
      <c r="T164" s="14" t="str">
        <f ca="1">IFERROR(__xludf.DUMMYFUNCTION("""COMPUTED_VALUE"""),"Insula Norfolk")</f>
        <v>Insula Norfolk</v>
      </c>
      <c r="U164" s="14" t="str">
        <f ca="1">IFERROR(__xludf.DUMMYFUNCTION("""COMPUTED_VALUE"""),"Norfolk")</f>
        <v>Norfolk</v>
      </c>
      <c r="V164" s="14" t="str">
        <f ca="1">IFERROR(__xludf.DUMMYFUNCTION("""COMPUTED_VALUE"""),"Остров Норфолк")</f>
        <v>Остров Норфолк</v>
      </c>
      <c r="W164" s="14" t="str">
        <f ca="1">IFERROR(__xludf.DUMMYFUNCTION("""COMPUTED_VALUE"""),"Norfolkön")</f>
        <v>Norfolkön</v>
      </c>
      <c r="X164" s="14" t="str">
        <f ca="1">IFERROR(__xludf.DUMMYFUNCTION("""COMPUTED_VALUE"""),"Otok Norfolk")</f>
        <v>Otok Norfolk</v>
      </c>
      <c r="Y164" s="14" t="str">
        <f ca="1">IFERROR(__xludf.DUMMYFUNCTION("""COMPUTED_VALUE"""),"Norfolk")</f>
        <v>Norfolk</v>
      </c>
      <c r="Z164" s="14" t="str">
        <f ca="1">IFERROR(__xludf.DUMMYFUNCTION("""COMPUTED_VALUE"""),"เกาะนอร์ฟอล์ก")</f>
        <v>เกาะนอร์ฟอล์ก</v>
      </c>
      <c r="AA164" s="14" t="str">
        <f ca="1">IFERROR(__xludf.DUMMYFUNCTION("""COMPUTED_VALUE"""),"Norfolk Adası")</f>
        <v>Norfolk Adası</v>
      </c>
      <c r="AB164" s="14" t="str">
        <f ca="1">IFERROR(__xludf.DUMMYFUNCTION("""COMPUTED_VALUE"""),"NORFOLK ADASI")</f>
        <v>NORFOLK ADASI</v>
      </c>
      <c r="AC164" s="14" t="str">
        <f ca="1">IFERROR(__xludf.DUMMYFUNCTION("""COMPUTED_VALUE"""),"Острів Норфолк")</f>
        <v>Острів Норфолк</v>
      </c>
      <c r="AD164" s="14" t="str">
        <f ca="1">IFERROR(__xludf.DUMMYFUNCTION("""COMPUTED_VALUE"""),"Đảo Norfolk")</f>
        <v>Đảo Norfolk</v>
      </c>
      <c r="AE164" s="14" t="str">
        <f ca="1">IFERROR(__xludf.DUMMYFUNCTION("""COMPUTED_VALUE"""),"Норфолк аралы")</f>
        <v>Норфолк аралы</v>
      </c>
      <c r="AF164" s="14"/>
    </row>
    <row r="165" spans="1:32" ht="13" x14ac:dyDescent="0.15">
      <c r="A165" s="14" t="str">
        <f ca="1">IFERROR(__xludf.DUMMYFUNCTION("""COMPUTED_VALUE"""),"NG")</f>
        <v>NG</v>
      </c>
      <c r="B165" s="14" t="str">
        <f ca="1">IFERROR(__xludf.DUMMYFUNCTION("""COMPUTED_VALUE"""),"Nigeria")</f>
        <v>Nigeria</v>
      </c>
      <c r="C165" s="14" t="str">
        <f ca="1">IFERROR(__xludf.DUMMYFUNCTION("""COMPUTED_VALUE"""),"نيجيريا")</f>
        <v>نيجيريا</v>
      </c>
      <c r="D165" s="14" t="str">
        <f ca="1">IFERROR(__xludf.DUMMYFUNCTION("""COMPUTED_VALUE"""),"Нигерия")</f>
        <v>Нигерия</v>
      </c>
      <c r="E165" s="14" t="str">
        <f ca="1">IFERROR(__xludf.DUMMYFUNCTION("""COMPUTED_VALUE"""),"Nigéria")</f>
        <v>Nigéria</v>
      </c>
      <c r="F165" s="14" t="str">
        <f ca="1">IFERROR(__xludf.DUMMYFUNCTION("""COMPUTED_VALUE"""),"Нігерыя")</f>
        <v>Нігерыя</v>
      </c>
      <c r="G165" s="14" t="str">
        <f ca="1">IFERROR(__xludf.DUMMYFUNCTION("""COMPUTED_VALUE"""),"Nigérie")</f>
        <v>Nigérie</v>
      </c>
      <c r="H165" s="14" t="str">
        <f ca="1">IFERROR(__xludf.DUMMYFUNCTION("""COMPUTED_VALUE"""),"Nigeria")</f>
        <v>Nigeria</v>
      </c>
      <c r="I165" s="14" t="str">
        <f ca="1">IFERROR(__xludf.DUMMYFUNCTION("""COMPUTED_VALUE"""),"Nigeria")</f>
        <v>Nigeria</v>
      </c>
      <c r="J165" s="14" t="str">
        <f ca="1">IFERROR(__xludf.DUMMYFUNCTION("""COMPUTED_VALUE"""),"Nigeria")</f>
        <v>Nigeria</v>
      </c>
      <c r="K165" s="14" t="str">
        <f ca="1">IFERROR(__xludf.DUMMYFUNCTION("""COMPUTED_VALUE"""),"Νιγηρία")</f>
        <v>Νιγηρία</v>
      </c>
      <c r="L165" s="14" t="str">
        <f ca="1">IFERROR(__xludf.DUMMYFUNCTION("""COMPUTED_VALUE"""),"ΝΙΓΗΡΙΑ")</f>
        <v>ΝΙΓΗΡΙΑ</v>
      </c>
      <c r="M165" s="14" t="str">
        <f ca="1">IFERROR(__xludf.DUMMYFUNCTION("""COMPUTED_VALUE"""),"Nigerija")</f>
        <v>Nigerija</v>
      </c>
      <c r="N165" s="14" t="str">
        <f ca="1">IFERROR(__xludf.DUMMYFUNCTION("""COMPUTED_VALUE"""),"Nigéria")</f>
        <v>Nigéria</v>
      </c>
      <c r="O165" s="14" t="str">
        <f ca="1">IFERROR(__xludf.DUMMYFUNCTION("""COMPUTED_VALUE"""),"Nigeria")</f>
        <v>Nigeria</v>
      </c>
      <c r="P165" s="14" t="str">
        <f ca="1">IFERROR(__xludf.DUMMYFUNCTION("""COMPUTED_VALUE"""),"Nigeria")</f>
        <v>Nigeria</v>
      </c>
      <c r="Q165" s="14" t="str">
        <f ca="1">IFERROR(__xludf.DUMMYFUNCTION("""COMPUTED_VALUE"""),"나이지리아")</f>
        <v>나이지리아</v>
      </c>
      <c r="R165" s="14" t="str">
        <f ca="1">IFERROR(__xludf.DUMMYFUNCTION("""COMPUTED_VALUE"""),"Nigeria")</f>
        <v>Nigeria</v>
      </c>
      <c r="S165" s="14" t="str">
        <f ca="1">IFERROR(__xludf.DUMMYFUNCTION("""COMPUTED_VALUE"""),"Nigéria")</f>
        <v>Nigéria</v>
      </c>
      <c r="T165" s="14" t="str">
        <f ca="1">IFERROR(__xludf.DUMMYFUNCTION("""COMPUTED_VALUE"""),"Nigeria")</f>
        <v>Nigeria</v>
      </c>
      <c r="U165" s="14" t="str">
        <f ca="1">IFERROR(__xludf.DUMMYFUNCTION("""COMPUTED_VALUE"""),"Nigerija")</f>
        <v>Nigerija</v>
      </c>
      <c r="V165" s="14" t="str">
        <f ca="1">IFERROR(__xludf.DUMMYFUNCTION("""COMPUTED_VALUE"""),"Нигерия")</f>
        <v>Нигерия</v>
      </c>
      <c r="W165" s="14" t="str">
        <f ca="1">IFERROR(__xludf.DUMMYFUNCTION("""COMPUTED_VALUE"""),"Nigeria")</f>
        <v>Nigeria</v>
      </c>
      <c r="X165" s="14" t="str">
        <f ca="1">IFERROR(__xludf.DUMMYFUNCTION("""COMPUTED_VALUE"""),"Nigerija")</f>
        <v>Nigerija</v>
      </c>
      <c r="Y165" s="14" t="str">
        <f ca="1">IFERROR(__xludf.DUMMYFUNCTION("""COMPUTED_VALUE"""),"Nigéria")</f>
        <v>Nigéria</v>
      </c>
      <c r="Z165" s="14" t="str">
        <f ca="1">IFERROR(__xludf.DUMMYFUNCTION("""COMPUTED_VALUE"""),"ไนจีเรีย")</f>
        <v>ไนจีเรีย</v>
      </c>
      <c r="AA165" s="14" t="str">
        <f ca="1">IFERROR(__xludf.DUMMYFUNCTION("""COMPUTED_VALUE"""),"Nijerya")</f>
        <v>Nijerya</v>
      </c>
      <c r="AB165" s="14" t="str">
        <f ca="1">IFERROR(__xludf.DUMMYFUNCTION("""COMPUTED_VALUE"""),"NİJERYA")</f>
        <v>NİJERYA</v>
      </c>
      <c r="AC165" s="14" t="str">
        <f ca="1">IFERROR(__xludf.DUMMYFUNCTION("""COMPUTED_VALUE"""),"Нігерія")</f>
        <v>Нігерія</v>
      </c>
      <c r="AD165" s="14" t="str">
        <f ca="1">IFERROR(__xludf.DUMMYFUNCTION("""COMPUTED_VALUE"""),"Nigeria")</f>
        <v>Nigeria</v>
      </c>
      <c r="AE165" s="14" t="str">
        <f ca="1">IFERROR(__xludf.DUMMYFUNCTION("""COMPUTED_VALUE"""),"Нигерия")</f>
        <v>Нигерия</v>
      </c>
      <c r="AF165" s="14"/>
    </row>
    <row r="166" spans="1:32" ht="13" x14ac:dyDescent="0.15">
      <c r="A166" s="14" t="str">
        <f ca="1">IFERROR(__xludf.DUMMYFUNCTION("""COMPUTED_VALUE"""),"NI")</f>
        <v>NI</v>
      </c>
      <c r="B166" s="14" t="str">
        <f ca="1">IFERROR(__xludf.DUMMYFUNCTION("""COMPUTED_VALUE"""),"Nicaragua")</f>
        <v>Nicaragua</v>
      </c>
      <c r="C166" s="14" t="str">
        <f ca="1">IFERROR(__xludf.DUMMYFUNCTION("""COMPUTED_VALUE"""),"نيكاراجوا")</f>
        <v>نيكاراجوا</v>
      </c>
      <c r="D166" s="14" t="str">
        <f ca="1">IFERROR(__xludf.DUMMYFUNCTION("""COMPUTED_VALUE"""),"Никарагуа")</f>
        <v>Никарагуа</v>
      </c>
      <c r="E166" s="14" t="str">
        <f ca="1">IFERROR(__xludf.DUMMYFUNCTION("""COMPUTED_VALUE"""),"Nicarágua")</f>
        <v>Nicarágua</v>
      </c>
      <c r="F166" s="14" t="str">
        <f ca="1">IFERROR(__xludf.DUMMYFUNCTION("""COMPUTED_VALUE"""),"Нікарагуа")</f>
        <v>Нікарагуа</v>
      </c>
      <c r="G166" s="14" t="str">
        <f ca="1">IFERROR(__xludf.DUMMYFUNCTION("""COMPUTED_VALUE"""),"Nikaragua")</f>
        <v>Nikaragua</v>
      </c>
      <c r="H166" s="14" t="str">
        <f ca="1">IFERROR(__xludf.DUMMYFUNCTION("""COMPUTED_VALUE"""),"Nicaragua")</f>
        <v>Nicaragua</v>
      </c>
      <c r="I166" s="14" t="str">
        <f ca="1">IFERROR(__xludf.DUMMYFUNCTION("""COMPUTED_VALUE"""),"Nicaragua")</f>
        <v>Nicaragua</v>
      </c>
      <c r="J166" s="14" t="str">
        <f ca="1">IFERROR(__xludf.DUMMYFUNCTION("""COMPUTED_VALUE"""),"Nicaragua")</f>
        <v>Nicaragua</v>
      </c>
      <c r="K166" s="14" t="str">
        <f ca="1">IFERROR(__xludf.DUMMYFUNCTION("""COMPUTED_VALUE"""),"Νικαράγουα")</f>
        <v>Νικαράγουα</v>
      </c>
      <c r="L166" s="14" t="str">
        <f ca="1">IFERROR(__xludf.DUMMYFUNCTION("""COMPUTED_VALUE"""),"ΝΙΚΑΡΑΓΟΥΑ")</f>
        <v>ΝΙΚΑΡΑΓΟΥΑ</v>
      </c>
      <c r="M166" s="14" t="str">
        <f ca="1">IFERROR(__xludf.DUMMYFUNCTION("""COMPUTED_VALUE"""),"Nikaragva")</f>
        <v>Nikaragva</v>
      </c>
      <c r="N166" s="14" t="str">
        <f ca="1">IFERROR(__xludf.DUMMYFUNCTION("""COMPUTED_VALUE"""),"Nicaragua")</f>
        <v>Nicaragua</v>
      </c>
      <c r="O166" s="14" t="str">
        <f ca="1">IFERROR(__xludf.DUMMYFUNCTION("""COMPUTED_VALUE"""),"Nikaragua")</f>
        <v>Nikaragua</v>
      </c>
      <c r="P166" s="14" t="str">
        <f ca="1">IFERROR(__xludf.DUMMYFUNCTION("""COMPUTED_VALUE"""),"Nicaragua")</f>
        <v>Nicaragua</v>
      </c>
      <c r="Q166" s="14" t="str">
        <f ca="1">IFERROR(__xludf.DUMMYFUNCTION("""COMPUTED_VALUE"""),"니카라과")</f>
        <v>니카라과</v>
      </c>
      <c r="R166" s="14" t="str">
        <f ca="1">IFERROR(__xludf.DUMMYFUNCTION("""COMPUTED_VALUE"""),"Nikaragua")</f>
        <v>Nikaragua</v>
      </c>
      <c r="S166" s="14" t="str">
        <f ca="1">IFERROR(__xludf.DUMMYFUNCTION("""COMPUTED_VALUE"""),"Nicarágua")</f>
        <v>Nicarágua</v>
      </c>
      <c r="T166" s="14" t="str">
        <f ca="1">IFERROR(__xludf.DUMMYFUNCTION("""COMPUTED_VALUE"""),"Nicaragua")</f>
        <v>Nicaragua</v>
      </c>
      <c r="U166" s="14" t="str">
        <f ca="1">IFERROR(__xludf.DUMMYFUNCTION("""COMPUTED_VALUE"""),"Nikaragva")</f>
        <v>Nikaragva</v>
      </c>
      <c r="V166" s="14" t="str">
        <f ca="1">IFERROR(__xludf.DUMMYFUNCTION("""COMPUTED_VALUE"""),"Никарагуа")</f>
        <v>Никарагуа</v>
      </c>
      <c r="W166" s="14" t="str">
        <f ca="1">IFERROR(__xludf.DUMMYFUNCTION("""COMPUTED_VALUE"""),"Nicaragua")</f>
        <v>Nicaragua</v>
      </c>
      <c r="X166" s="14" t="str">
        <f ca="1">IFERROR(__xludf.DUMMYFUNCTION("""COMPUTED_VALUE"""),"Nikaragva")</f>
        <v>Nikaragva</v>
      </c>
      <c r="Y166" s="14" t="str">
        <f ca="1">IFERROR(__xludf.DUMMYFUNCTION("""COMPUTED_VALUE"""),"Nikaragua")</f>
        <v>Nikaragua</v>
      </c>
      <c r="Z166" s="14" t="str">
        <f ca="1">IFERROR(__xludf.DUMMYFUNCTION("""COMPUTED_VALUE"""),"นิการากัว")</f>
        <v>นิการากัว</v>
      </c>
      <c r="AA166" s="14" t="str">
        <f ca="1">IFERROR(__xludf.DUMMYFUNCTION("""COMPUTED_VALUE"""),"Nikaragua")</f>
        <v>Nikaragua</v>
      </c>
      <c r="AB166" s="14" t="str">
        <f ca="1">IFERROR(__xludf.DUMMYFUNCTION("""COMPUTED_VALUE"""),"NİKARAGUA")</f>
        <v>NİKARAGUA</v>
      </c>
      <c r="AC166" s="14" t="str">
        <f ca="1">IFERROR(__xludf.DUMMYFUNCTION("""COMPUTED_VALUE"""),"Нікарагуа")</f>
        <v>Нікарагуа</v>
      </c>
      <c r="AD166" s="14" t="str">
        <f ca="1">IFERROR(__xludf.DUMMYFUNCTION("""COMPUTED_VALUE"""),"Nicaragua")</f>
        <v>Nicaragua</v>
      </c>
      <c r="AE166" s="14" t="str">
        <f ca="1">IFERROR(__xludf.DUMMYFUNCTION("""COMPUTED_VALUE"""),"Никарагуа")</f>
        <v>Никарагуа</v>
      </c>
      <c r="AF166" s="14"/>
    </row>
    <row r="167" spans="1:32" ht="13" x14ac:dyDescent="0.15">
      <c r="A167" s="14" t="str">
        <f ca="1">IFERROR(__xludf.DUMMYFUNCTION("""COMPUTED_VALUE"""),"NL")</f>
        <v>NL</v>
      </c>
      <c r="B167" s="14" t="str">
        <f ca="1">IFERROR(__xludf.DUMMYFUNCTION("""COMPUTED_VALUE"""),"Netherlands")</f>
        <v>Netherlands</v>
      </c>
      <c r="C167" s="14" t="str">
        <f ca="1">IFERROR(__xludf.DUMMYFUNCTION("""COMPUTED_VALUE"""),"هولندا")</f>
        <v>هولندا</v>
      </c>
      <c r="D167" s="14" t="str">
        <f ca="1">IFERROR(__xludf.DUMMYFUNCTION("""COMPUTED_VALUE"""),"Нидерландия")</f>
        <v>Нидерландия</v>
      </c>
      <c r="E167" s="14" t="str">
        <f ca="1">IFERROR(__xludf.DUMMYFUNCTION("""COMPUTED_VALUE"""),"Países Baixos")</f>
        <v>Países Baixos</v>
      </c>
      <c r="F167" s="14" t="str">
        <f ca="1">IFERROR(__xludf.DUMMYFUNCTION("""COMPUTED_VALUE"""),"Нідэрланды")</f>
        <v>Нідэрланды</v>
      </c>
      <c r="G167" s="14" t="str">
        <f ca="1">IFERROR(__xludf.DUMMYFUNCTION("""COMPUTED_VALUE"""),"Nizozemsko")</f>
        <v>Nizozemsko</v>
      </c>
      <c r="H167" s="14" t="str">
        <f ca="1">IFERROR(__xludf.DUMMYFUNCTION("""COMPUTED_VALUE"""),"Niederlande")</f>
        <v>Niederlande</v>
      </c>
      <c r="I167" s="14" t="str">
        <f ca="1">IFERROR(__xludf.DUMMYFUNCTION("""COMPUTED_VALUE"""),"Países Bajos")</f>
        <v>Países Bajos</v>
      </c>
      <c r="J167" s="14" t="str">
        <f ca="1">IFERROR(__xludf.DUMMYFUNCTION("""COMPUTED_VALUE"""),"Alankomaat")</f>
        <v>Alankomaat</v>
      </c>
      <c r="K167" s="14" t="str">
        <f ca="1">IFERROR(__xludf.DUMMYFUNCTION("""COMPUTED_VALUE"""),"Ολλανδία")</f>
        <v>Ολλανδία</v>
      </c>
      <c r="L167" s="14" t="str">
        <f ca="1">IFERROR(__xludf.DUMMYFUNCTION("""COMPUTED_VALUE"""),"ΟΛΛΑΝΔΙΑ")</f>
        <v>ΟΛΛΑΝΔΙΑ</v>
      </c>
      <c r="M167" s="14" t="str">
        <f ca="1">IFERROR(__xludf.DUMMYFUNCTION("""COMPUTED_VALUE"""),"Nizozemska")</f>
        <v>Nizozemska</v>
      </c>
      <c r="N167" s="14" t="str">
        <f ca="1">IFERROR(__xludf.DUMMYFUNCTION("""COMPUTED_VALUE"""),"Hollandia")</f>
        <v>Hollandia</v>
      </c>
      <c r="O167" s="14" t="str">
        <f ca="1">IFERROR(__xludf.DUMMYFUNCTION("""COMPUTED_VALUE"""),"Belanda")</f>
        <v>Belanda</v>
      </c>
      <c r="P167" s="14" t="str">
        <f ca="1">IFERROR(__xludf.DUMMYFUNCTION("""COMPUTED_VALUE"""),"Paesi Bassi")</f>
        <v>Paesi Bassi</v>
      </c>
      <c r="Q167" s="14" t="str">
        <f ca="1">IFERROR(__xludf.DUMMYFUNCTION("""COMPUTED_VALUE"""),"네덜란드")</f>
        <v>네덜란드</v>
      </c>
      <c r="R167" s="14" t="str">
        <f ca="1">IFERROR(__xludf.DUMMYFUNCTION("""COMPUTED_VALUE"""),"Holandia")</f>
        <v>Holandia</v>
      </c>
      <c r="S167" s="14" t="str">
        <f ca="1">IFERROR(__xludf.DUMMYFUNCTION("""COMPUTED_VALUE"""),"Países Baixos")</f>
        <v>Países Baixos</v>
      </c>
      <c r="T167" s="14" t="str">
        <f ca="1">IFERROR(__xludf.DUMMYFUNCTION("""COMPUTED_VALUE"""),"Țările de Jos")</f>
        <v>Țările de Jos</v>
      </c>
      <c r="U167" s="14" t="str">
        <f ca="1">IFERROR(__xludf.DUMMYFUNCTION("""COMPUTED_VALUE"""),"Holandija")</f>
        <v>Holandija</v>
      </c>
      <c r="V167" s="14" t="str">
        <f ca="1">IFERROR(__xludf.DUMMYFUNCTION("""COMPUTED_VALUE"""),"Нидерланды")</f>
        <v>Нидерланды</v>
      </c>
      <c r="W167" s="14" t="str">
        <f ca="1">IFERROR(__xludf.DUMMYFUNCTION("""COMPUTED_VALUE"""),"Nederländerna")</f>
        <v>Nederländerna</v>
      </c>
      <c r="X167" s="14" t="str">
        <f ca="1">IFERROR(__xludf.DUMMYFUNCTION("""COMPUTED_VALUE"""),"Nizozemska")</f>
        <v>Nizozemska</v>
      </c>
      <c r="Y167" s="14" t="str">
        <f ca="1">IFERROR(__xludf.DUMMYFUNCTION("""COMPUTED_VALUE"""),"Holandsko")</f>
        <v>Holandsko</v>
      </c>
      <c r="Z167" s="14" t="str">
        <f ca="1">IFERROR(__xludf.DUMMYFUNCTION("""COMPUTED_VALUE"""),"เนเธอร์แลนด์")</f>
        <v>เนเธอร์แลนด์</v>
      </c>
      <c r="AA167" s="14" t="str">
        <f ca="1">IFERROR(__xludf.DUMMYFUNCTION("""COMPUTED_VALUE"""),"Hollanda")</f>
        <v>Hollanda</v>
      </c>
      <c r="AB167" s="14" t="str">
        <f ca="1">IFERROR(__xludf.DUMMYFUNCTION("""COMPUTED_VALUE"""),"HOLLANDA")</f>
        <v>HOLLANDA</v>
      </c>
      <c r="AC167" s="14" t="str">
        <f ca="1">IFERROR(__xludf.DUMMYFUNCTION("""COMPUTED_VALUE"""),"Нідерланди")</f>
        <v>Нідерланди</v>
      </c>
      <c r="AD167" s="14" t="str">
        <f ca="1">IFERROR(__xludf.DUMMYFUNCTION("""COMPUTED_VALUE"""),"Hà Lan")</f>
        <v>Hà Lan</v>
      </c>
      <c r="AE167" s="14" t="str">
        <f ca="1">IFERROR(__xludf.DUMMYFUNCTION("""COMPUTED_VALUE"""),"Нидерланд")</f>
        <v>Нидерланд</v>
      </c>
      <c r="AF167" s="14"/>
    </row>
    <row r="168" spans="1:32" ht="13" x14ac:dyDescent="0.15">
      <c r="A168" s="14" t="str">
        <f ca="1">IFERROR(__xludf.DUMMYFUNCTION("""COMPUTED_VALUE"""),"NO")</f>
        <v>NO</v>
      </c>
      <c r="B168" s="14" t="str">
        <f ca="1">IFERROR(__xludf.DUMMYFUNCTION("""COMPUTED_VALUE"""),"Norway")</f>
        <v>Norway</v>
      </c>
      <c r="C168" s="14" t="str">
        <f ca="1">IFERROR(__xludf.DUMMYFUNCTION("""COMPUTED_VALUE"""),"النرويج")</f>
        <v>النرويج</v>
      </c>
      <c r="D168" s="14" t="str">
        <f ca="1">IFERROR(__xludf.DUMMYFUNCTION("""COMPUTED_VALUE"""),"Норвегия")</f>
        <v>Норвегия</v>
      </c>
      <c r="E168" s="14" t="str">
        <f ca="1">IFERROR(__xludf.DUMMYFUNCTION("""COMPUTED_VALUE"""),"Noruega")</f>
        <v>Noruega</v>
      </c>
      <c r="F168" s="14" t="str">
        <f ca="1">IFERROR(__xludf.DUMMYFUNCTION("""COMPUTED_VALUE"""),"Нарвегія")</f>
        <v>Нарвегія</v>
      </c>
      <c r="G168" s="14" t="str">
        <f ca="1">IFERROR(__xludf.DUMMYFUNCTION("""COMPUTED_VALUE"""),"Norsko")</f>
        <v>Norsko</v>
      </c>
      <c r="H168" s="14" t="str">
        <f ca="1">IFERROR(__xludf.DUMMYFUNCTION("""COMPUTED_VALUE"""),"Norwegen")</f>
        <v>Norwegen</v>
      </c>
      <c r="I168" s="14" t="str">
        <f ca="1">IFERROR(__xludf.DUMMYFUNCTION("""COMPUTED_VALUE"""),"Noruega")</f>
        <v>Noruega</v>
      </c>
      <c r="J168" s="14" t="str">
        <f ca="1">IFERROR(__xludf.DUMMYFUNCTION("""COMPUTED_VALUE"""),"Norja")</f>
        <v>Norja</v>
      </c>
      <c r="K168" s="14" t="str">
        <f ca="1">IFERROR(__xludf.DUMMYFUNCTION("""COMPUTED_VALUE"""),"Νορβηγία")</f>
        <v>Νορβηγία</v>
      </c>
      <c r="L168" s="14" t="str">
        <f ca="1">IFERROR(__xludf.DUMMYFUNCTION("""COMPUTED_VALUE"""),"ΝΟΡΒΗΓΙΑ")</f>
        <v>ΝΟΡΒΗΓΙΑ</v>
      </c>
      <c r="M168" s="14" t="str">
        <f ca="1">IFERROR(__xludf.DUMMYFUNCTION("""COMPUTED_VALUE"""),"Norveška")</f>
        <v>Norveška</v>
      </c>
      <c r="N168" s="14" t="str">
        <f ca="1">IFERROR(__xludf.DUMMYFUNCTION("""COMPUTED_VALUE"""),"Norvégia")</f>
        <v>Norvégia</v>
      </c>
      <c r="O168" s="14" t="str">
        <f ca="1">IFERROR(__xludf.DUMMYFUNCTION("""COMPUTED_VALUE"""),"Norwegia")</f>
        <v>Norwegia</v>
      </c>
      <c r="P168" s="14" t="str">
        <f ca="1">IFERROR(__xludf.DUMMYFUNCTION("""COMPUTED_VALUE"""),"Norvegia")</f>
        <v>Norvegia</v>
      </c>
      <c r="Q168" s="14" t="str">
        <f ca="1">IFERROR(__xludf.DUMMYFUNCTION("""COMPUTED_VALUE"""),"노르웨이")</f>
        <v>노르웨이</v>
      </c>
      <c r="R168" s="14" t="str">
        <f ca="1">IFERROR(__xludf.DUMMYFUNCTION("""COMPUTED_VALUE"""),"Norwegia")</f>
        <v>Norwegia</v>
      </c>
      <c r="S168" s="14" t="str">
        <f ca="1">IFERROR(__xludf.DUMMYFUNCTION("""COMPUTED_VALUE"""),"Noruega")</f>
        <v>Noruega</v>
      </c>
      <c r="T168" s="14" t="str">
        <f ca="1">IFERROR(__xludf.DUMMYFUNCTION("""COMPUTED_VALUE"""),"Norvegia")</f>
        <v>Norvegia</v>
      </c>
      <c r="U168" s="14" t="str">
        <f ca="1">IFERROR(__xludf.DUMMYFUNCTION("""COMPUTED_VALUE"""),"Norveška")</f>
        <v>Norveška</v>
      </c>
      <c r="V168" s="14" t="str">
        <f ca="1">IFERROR(__xludf.DUMMYFUNCTION("""COMPUTED_VALUE"""),"Норвегия")</f>
        <v>Норвегия</v>
      </c>
      <c r="W168" s="14" t="str">
        <f ca="1">IFERROR(__xludf.DUMMYFUNCTION("""COMPUTED_VALUE"""),"Norge")</f>
        <v>Norge</v>
      </c>
      <c r="X168" s="14" t="str">
        <f ca="1">IFERROR(__xludf.DUMMYFUNCTION("""COMPUTED_VALUE"""),"Norveška")</f>
        <v>Norveška</v>
      </c>
      <c r="Y168" s="14" t="str">
        <f ca="1">IFERROR(__xludf.DUMMYFUNCTION("""COMPUTED_VALUE"""),"Nórsko")</f>
        <v>Nórsko</v>
      </c>
      <c r="Z168" s="14" t="str">
        <f ca="1">IFERROR(__xludf.DUMMYFUNCTION("""COMPUTED_VALUE"""),"นอร์เวย์")</f>
        <v>นอร์เวย์</v>
      </c>
      <c r="AA168" s="14" t="str">
        <f ca="1">IFERROR(__xludf.DUMMYFUNCTION("""COMPUTED_VALUE"""),"Norveç")</f>
        <v>Norveç</v>
      </c>
      <c r="AB168" s="14" t="str">
        <f ca="1">IFERROR(__xludf.DUMMYFUNCTION("""COMPUTED_VALUE"""),"NORVEÇ")</f>
        <v>NORVEÇ</v>
      </c>
      <c r="AC168" s="14" t="str">
        <f ca="1">IFERROR(__xludf.DUMMYFUNCTION("""COMPUTED_VALUE"""),"Норвегія")</f>
        <v>Норвегія</v>
      </c>
      <c r="AD168" s="14" t="str">
        <f ca="1">IFERROR(__xludf.DUMMYFUNCTION("""COMPUTED_VALUE"""),"Na Uy")</f>
        <v>Na Uy</v>
      </c>
      <c r="AE168" s="14" t="str">
        <f ca="1">IFERROR(__xludf.DUMMYFUNCTION("""COMPUTED_VALUE"""),"Норвегия")</f>
        <v>Норвегия</v>
      </c>
      <c r="AF168" s="14"/>
    </row>
    <row r="169" spans="1:32" ht="13" x14ac:dyDescent="0.15">
      <c r="A169" s="14" t="str">
        <f ca="1">IFERROR(__xludf.DUMMYFUNCTION("""COMPUTED_VALUE"""),"NP")</f>
        <v>NP</v>
      </c>
      <c r="B169" s="14" t="str">
        <f ca="1">IFERROR(__xludf.DUMMYFUNCTION("""COMPUTED_VALUE"""),"Nepal")</f>
        <v>Nepal</v>
      </c>
      <c r="C169" s="14" t="str">
        <f ca="1">IFERROR(__xludf.DUMMYFUNCTION("""COMPUTED_VALUE"""),"نيبال")</f>
        <v>نيبال</v>
      </c>
      <c r="D169" s="14" t="str">
        <f ca="1">IFERROR(__xludf.DUMMYFUNCTION("""COMPUTED_VALUE"""),"Непал")</f>
        <v>Непал</v>
      </c>
      <c r="E169" s="14" t="str">
        <f ca="1">IFERROR(__xludf.DUMMYFUNCTION("""COMPUTED_VALUE"""),"Nepal")</f>
        <v>Nepal</v>
      </c>
      <c r="F169" s="14" t="str">
        <f ca="1">IFERROR(__xludf.DUMMYFUNCTION("""COMPUTED_VALUE"""),"Непал")</f>
        <v>Непал</v>
      </c>
      <c r="G169" s="14" t="str">
        <f ca="1">IFERROR(__xludf.DUMMYFUNCTION("""COMPUTED_VALUE"""),"Nepál")</f>
        <v>Nepál</v>
      </c>
      <c r="H169" s="14" t="str">
        <f ca="1">IFERROR(__xludf.DUMMYFUNCTION("""COMPUTED_VALUE"""),"Nepal")</f>
        <v>Nepal</v>
      </c>
      <c r="I169" s="14" t="str">
        <f ca="1">IFERROR(__xludf.DUMMYFUNCTION("""COMPUTED_VALUE"""),"Nepal")</f>
        <v>Nepal</v>
      </c>
      <c r="J169" s="14" t="str">
        <f ca="1">IFERROR(__xludf.DUMMYFUNCTION("""COMPUTED_VALUE"""),"Nepal")</f>
        <v>Nepal</v>
      </c>
      <c r="K169" s="14" t="str">
        <f ca="1">IFERROR(__xludf.DUMMYFUNCTION("""COMPUTED_VALUE"""),"Νεπάλ")</f>
        <v>Νεπάλ</v>
      </c>
      <c r="L169" s="14" t="str">
        <f ca="1">IFERROR(__xludf.DUMMYFUNCTION("""COMPUTED_VALUE"""),"ΝΕΠΑΛ")</f>
        <v>ΝΕΠΑΛ</v>
      </c>
      <c r="M169" s="14" t="str">
        <f ca="1">IFERROR(__xludf.DUMMYFUNCTION("""COMPUTED_VALUE"""),"Nepal")</f>
        <v>Nepal</v>
      </c>
      <c r="N169" s="14" t="str">
        <f ca="1">IFERROR(__xludf.DUMMYFUNCTION("""COMPUTED_VALUE"""),"Nepál")</f>
        <v>Nepál</v>
      </c>
      <c r="O169" s="14" t="str">
        <f ca="1">IFERROR(__xludf.DUMMYFUNCTION("""COMPUTED_VALUE"""),"Nepal")</f>
        <v>Nepal</v>
      </c>
      <c r="P169" s="14" t="str">
        <f ca="1">IFERROR(__xludf.DUMMYFUNCTION("""COMPUTED_VALUE"""),"Nepal")</f>
        <v>Nepal</v>
      </c>
      <c r="Q169" s="14" t="str">
        <f ca="1">IFERROR(__xludf.DUMMYFUNCTION("""COMPUTED_VALUE"""),"네팔")</f>
        <v>네팔</v>
      </c>
      <c r="R169" s="14" t="str">
        <f ca="1">IFERROR(__xludf.DUMMYFUNCTION("""COMPUTED_VALUE"""),"Nepal")</f>
        <v>Nepal</v>
      </c>
      <c r="S169" s="14" t="str">
        <f ca="1">IFERROR(__xludf.DUMMYFUNCTION("""COMPUTED_VALUE"""),"Nepal")</f>
        <v>Nepal</v>
      </c>
      <c r="T169" s="14" t="str">
        <f ca="1">IFERROR(__xludf.DUMMYFUNCTION("""COMPUTED_VALUE"""),"Nepal")</f>
        <v>Nepal</v>
      </c>
      <c r="U169" s="14" t="str">
        <f ca="1">IFERROR(__xludf.DUMMYFUNCTION("""COMPUTED_VALUE"""),"Nepal")</f>
        <v>Nepal</v>
      </c>
      <c r="V169" s="14" t="str">
        <f ca="1">IFERROR(__xludf.DUMMYFUNCTION("""COMPUTED_VALUE"""),"Непал")</f>
        <v>Непал</v>
      </c>
      <c r="W169" s="14" t="str">
        <f ca="1">IFERROR(__xludf.DUMMYFUNCTION("""COMPUTED_VALUE"""),"Nepal")</f>
        <v>Nepal</v>
      </c>
      <c r="X169" s="14" t="str">
        <f ca="1">IFERROR(__xludf.DUMMYFUNCTION("""COMPUTED_VALUE"""),"Nepal")</f>
        <v>Nepal</v>
      </c>
      <c r="Y169" s="14" t="str">
        <f ca="1">IFERROR(__xludf.DUMMYFUNCTION("""COMPUTED_VALUE"""),"Nepál")</f>
        <v>Nepál</v>
      </c>
      <c r="Z169" s="14" t="str">
        <f ca="1">IFERROR(__xludf.DUMMYFUNCTION("""COMPUTED_VALUE"""),"เนปาล")</f>
        <v>เนปาล</v>
      </c>
      <c r="AA169" s="14" t="str">
        <f ca="1">IFERROR(__xludf.DUMMYFUNCTION("""COMPUTED_VALUE"""),"Nepal")</f>
        <v>Nepal</v>
      </c>
      <c r="AB169" s="14" t="str">
        <f ca="1">IFERROR(__xludf.DUMMYFUNCTION("""COMPUTED_VALUE"""),"NEPAL")</f>
        <v>NEPAL</v>
      </c>
      <c r="AC169" s="14" t="str">
        <f ca="1">IFERROR(__xludf.DUMMYFUNCTION("""COMPUTED_VALUE"""),"Непал")</f>
        <v>Непал</v>
      </c>
      <c r="AD169" s="14" t="str">
        <f ca="1">IFERROR(__xludf.DUMMYFUNCTION("""COMPUTED_VALUE"""),"Nepal")</f>
        <v>Nepal</v>
      </c>
      <c r="AE169" s="14" t="str">
        <f ca="1">IFERROR(__xludf.DUMMYFUNCTION("""COMPUTED_VALUE"""),"Непал")</f>
        <v>Непал</v>
      </c>
      <c r="AF169" s="14"/>
    </row>
    <row r="170" spans="1:32" ht="13" x14ac:dyDescent="0.15">
      <c r="A170" s="14" t="str">
        <f ca="1">IFERROR(__xludf.DUMMYFUNCTION("""COMPUTED_VALUE"""),"NR")</f>
        <v>NR</v>
      </c>
      <c r="B170" s="14" t="str">
        <f ca="1">IFERROR(__xludf.DUMMYFUNCTION("""COMPUTED_VALUE"""),"Nauru")</f>
        <v>Nauru</v>
      </c>
      <c r="C170" s="14" t="str">
        <f ca="1">IFERROR(__xludf.DUMMYFUNCTION("""COMPUTED_VALUE"""),"نورو")</f>
        <v>نورو</v>
      </c>
      <c r="D170" s="14" t="str">
        <f ca="1">IFERROR(__xludf.DUMMYFUNCTION("""COMPUTED_VALUE"""),"Науру")</f>
        <v>Науру</v>
      </c>
      <c r="E170" s="14" t="str">
        <f ca="1">IFERROR(__xludf.DUMMYFUNCTION("""COMPUTED_VALUE"""),"Nauru")</f>
        <v>Nauru</v>
      </c>
      <c r="F170" s="14" t="str">
        <f ca="1">IFERROR(__xludf.DUMMYFUNCTION("""COMPUTED_VALUE"""),"Науру")</f>
        <v>Науру</v>
      </c>
      <c r="G170" s="14" t="str">
        <f ca="1">IFERROR(__xludf.DUMMYFUNCTION("""COMPUTED_VALUE"""),"Nauru")</f>
        <v>Nauru</v>
      </c>
      <c r="H170" s="14" t="str">
        <f ca="1">IFERROR(__xludf.DUMMYFUNCTION("""COMPUTED_VALUE"""),"Nauru")</f>
        <v>Nauru</v>
      </c>
      <c r="I170" s="14" t="str">
        <f ca="1">IFERROR(__xludf.DUMMYFUNCTION("""COMPUTED_VALUE"""),"Nauru")</f>
        <v>Nauru</v>
      </c>
      <c r="J170" s="14" t="str">
        <f ca="1">IFERROR(__xludf.DUMMYFUNCTION("""COMPUTED_VALUE"""),"Nauru")</f>
        <v>Nauru</v>
      </c>
      <c r="K170" s="14" t="str">
        <f ca="1">IFERROR(__xludf.DUMMYFUNCTION("""COMPUTED_VALUE"""),"Ναουρού")</f>
        <v>Ναουρού</v>
      </c>
      <c r="L170" s="14" t="str">
        <f ca="1">IFERROR(__xludf.DUMMYFUNCTION("""COMPUTED_VALUE"""),"ΝΑΟΥΡΟΥ")</f>
        <v>ΝΑΟΥΡΟΥ</v>
      </c>
      <c r="M170" s="14" t="str">
        <f ca="1">IFERROR(__xludf.DUMMYFUNCTION("""COMPUTED_VALUE"""),"Nauru")</f>
        <v>Nauru</v>
      </c>
      <c r="N170" s="14" t="str">
        <f ca="1">IFERROR(__xludf.DUMMYFUNCTION("""COMPUTED_VALUE"""),"Nauru")</f>
        <v>Nauru</v>
      </c>
      <c r="O170" s="14" t="str">
        <f ca="1">IFERROR(__xludf.DUMMYFUNCTION("""COMPUTED_VALUE"""),"Nauru")</f>
        <v>Nauru</v>
      </c>
      <c r="P170" s="14" t="str">
        <f ca="1">IFERROR(__xludf.DUMMYFUNCTION("""COMPUTED_VALUE"""),"Nauru")</f>
        <v>Nauru</v>
      </c>
      <c r="Q170" s="14" t="str">
        <f ca="1">IFERROR(__xludf.DUMMYFUNCTION("""COMPUTED_VALUE"""),"나우루")</f>
        <v>나우루</v>
      </c>
      <c r="R170" s="14" t="str">
        <f ca="1">IFERROR(__xludf.DUMMYFUNCTION("""COMPUTED_VALUE"""),"Nauru")</f>
        <v>Nauru</v>
      </c>
      <c r="S170" s="14" t="str">
        <f ca="1">IFERROR(__xludf.DUMMYFUNCTION("""COMPUTED_VALUE"""),"Nauru")</f>
        <v>Nauru</v>
      </c>
      <c r="T170" s="14" t="str">
        <f ca="1">IFERROR(__xludf.DUMMYFUNCTION("""COMPUTED_VALUE"""),"Nauru")</f>
        <v>Nauru</v>
      </c>
      <c r="U170" s="14" t="str">
        <f ca="1">IFERROR(__xludf.DUMMYFUNCTION("""COMPUTED_VALUE"""),"Nauru")</f>
        <v>Nauru</v>
      </c>
      <c r="V170" s="14" t="str">
        <f ca="1">IFERROR(__xludf.DUMMYFUNCTION("""COMPUTED_VALUE"""),"Науру")</f>
        <v>Науру</v>
      </c>
      <c r="W170" s="14" t="str">
        <f ca="1">IFERROR(__xludf.DUMMYFUNCTION("""COMPUTED_VALUE"""),"Nauru")</f>
        <v>Nauru</v>
      </c>
      <c r="X170" s="14" t="str">
        <f ca="1">IFERROR(__xludf.DUMMYFUNCTION("""COMPUTED_VALUE"""),"Nauru")</f>
        <v>Nauru</v>
      </c>
      <c r="Y170" s="14" t="str">
        <f ca="1">IFERROR(__xludf.DUMMYFUNCTION("""COMPUTED_VALUE"""),"Nauru")</f>
        <v>Nauru</v>
      </c>
      <c r="Z170" s="14" t="str">
        <f ca="1">IFERROR(__xludf.DUMMYFUNCTION("""COMPUTED_VALUE"""),"นาอูรู")</f>
        <v>นาอูรู</v>
      </c>
      <c r="AA170" s="14" t="str">
        <f ca="1">IFERROR(__xludf.DUMMYFUNCTION("""COMPUTED_VALUE"""),"Nauru")</f>
        <v>Nauru</v>
      </c>
      <c r="AB170" s="14" t="str">
        <f ca="1">IFERROR(__xludf.DUMMYFUNCTION("""COMPUTED_VALUE"""),"NAURU")</f>
        <v>NAURU</v>
      </c>
      <c r="AC170" s="14" t="str">
        <f ca="1">IFERROR(__xludf.DUMMYFUNCTION("""COMPUTED_VALUE"""),"Науру")</f>
        <v>Науру</v>
      </c>
      <c r="AD170" s="14" t="str">
        <f ca="1">IFERROR(__xludf.DUMMYFUNCTION("""COMPUTED_VALUE"""),"Nauru")</f>
        <v>Nauru</v>
      </c>
      <c r="AE170" s="14" t="str">
        <f ca="1">IFERROR(__xludf.DUMMYFUNCTION("""COMPUTED_VALUE"""),"Науру")</f>
        <v>Науру</v>
      </c>
      <c r="AF170" s="14"/>
    </row>
    <row r="171" spans="1:32" ht="13" x14ac:dyDescent="0.15">
      <c r="A171" s="14" t="str">
        <f ca="1">IFERROR(__xludf.DUMMYFUNCTION("""COMPUTED_VALUE"""),"NU")</f>
        <v>NU</v>
      </c>
      <c r="B171" s="14" t="str">
        <f ca="1">IFERROR(__xludf.DUMMYFUNCTION("""COMPUTED_VALUE"""),"Niue")</f>
        <v>Niue</v>
      </c>
      <c r="C171" s="14" t="str">
        <f ca="1">IFERROR(__xludf.DUMMYFUNCTION("""COMPUTED_VALUE"""),"نيوي")</f>
        <v>نيوي</v>
      </c>
      <c r="D171" s="14" t="str">
        <f ca="1">IFERROR(__xludf.DUMMYFUNCTION("""COMPUTED_VALUE"""),"Ниуе")</f>
        <v>Ниуе</v>
      </c>
      <c r="E171" s="14" t="str">
        <f ca="1">IFERROR(__xludf.DUMMYFUNCTION("""COMPUTED_VALUE"""),"Niue")</f>
        <v>Niue</v>
      </c>
      <c r="F171" s="14" t="str">
        <f ca="1">IFERROR(__xludf.DUMMYFUNCTION("""COMPUTED_VALUE"""),"Ніуэ")</f>
        <v>Ніуэ</v>
      </c>
      <c r="G171" s="14" t="str">
        <f ca="1">IFERROR(__xludf.DUMMYFUNCTION("""COMPUTED_VALUE"""),"Niue")</f>
        <v>Niue</v>
      </c>
      <c r="H171" s="14" t="str">
        <f ca="1">IFERROR(__xludf.DUMMYFUNCTION("""COMPUTED_VALUE"""),"Niue")</f>
        <v>Niue</v>
      </c>
      <c r="I171" s="14" t="str">
        <f ca="1">IFERROR(__xludf.DUMMYFUNCTION("""COMPUTED_VALUE"""),"Niue")</f>
        <v>Niue</v>
      </c>
      <c r="J171" s="14" t="str">
        <f ca="1">IFERROR(__xludf.DUMMYFUNCTION("""COMPUTED_VALUE"""),"Niue")</f>
        <v>Niue</v>
      </c>
      <c r="K171" s="14" t="str">
        <f ca="1">IFERROR(__xludf.DUMMYFUNCTION("""COMPUTED_VALUE"""),"Νιούε")</f>
        <v>Νιούε</v>
      </c>
      <c r="L171" s="14" t="str">
        <f ca="1">IFERROR(__xludf.DUMMYFUNCTION("""COMPUTED_VALUE"""),"ΝΙΟΥΕ")</f>
        <v>ΝΙΟΥΕ</v>
      </c>
      <c r="M171" s="14" t="str">
        <f ca="1">IFERROR(__xludf.DUMMYFUNCTION("""COMPUTED_VALUE"""),"Niue")</f>
        <v>Niue</v>
      </c>
      <c r="N171" s="14" t="str">
        <f ca="1">IFERROR(__xludf.DUMMYFUNCTION("""COMPUTED_VALUE"""),"Niue")</f>
        <v>Niue</v>
      </c>
      <c r="O171" s="14" t="str">
        <f ca="1">IFERROR(__xludf.DUMMYFUNCTION("""COMPUTED_VALUE"""),"Niue")</f>
        <v>Niue</v>
      </c>
      <c r="P171" s="14" t="str">
        <f ca="1">IFERROR(__xludf.DUMMYFUNCTION("""COMPUTED_VALUE"""),"Niue")</f>
        <v>Niue</v>
      </c>
      <c r="Q171" s="14" t="str">
        <f ca="1">IFERROR(__xludf.DUMMYFUNCTION("""COMPUTED_VALUE"""),"니우에")</f>
        <v>니우에</v>
      </c>
      <c r="R171" s="14" t="str">
        <f ca="1">IFERROR(__xludf.DUMMYFUNCTION("""COMPUTED_VALUE"""),"Niue")</f>
        <v>Niue</v>
      </c>
      <c r="S171" s="14" t="str">
        <f ca="1">IFERROR(__xludf.DUMMYFUNCTION("""COMPUTED_VALUE"""),"Niue")</f>
        <v>Niue</v>
      </c>
      <c r="T171" s="14" t="str">
        <f ca="1">IFERROR(__xludf.DUMMYFUNCTION("""COMPUTED_VALUE"""),"Niue")</f>
        <v>Niue</v>
      </c>
      <c r="U171" s="14" t="str">
        <f ca="1">IFERROR(__xludf.DUMMYFUNCTION("""COMPUTED_VALUE"""),"Nijue")</f>
        <v>Nijue</v>
      </c>
      <c r="V171" s="14" t="str">
        <f ca="1">IFERROR(__xludf.DUMMYFUNCTION("""COMPUTED_VALUE"""),"Ниуэ")</f>
        <v>Ниуэ</v>
      </c>
      <c r="W171" s="14" t="str">
        <f ca="1">IFERROR(__xludf.DUMMYFUNCTION("""COMPUTED_VALUE"""),"Niue")</f>
        <v>Niue</v>
      </c>
      <c r="X171" s="14" t="str">
        <f ca="1">IFERROR(__xludf.DUMMYFUNCTION("""COMPUTED_VALUE"""),"Niue")</f>
        <v>Niue</v>
      </c>
      <c r="Y171" s="14" t="str">
        <f ca="1">IFERROR(__xludf.DUMMYFUNCTION("""COMPUTED_VALUE"""),"Niue")</f>
        <v>Niue</v>
      </c>
      <c r="Z171" s="14" t="str">
        <f ca="1">IFERROR(__xludf.DUMMYFUNCTION("""COMPUTED_VALUE"""),"นีวเว")</f>
        <v>นีวเว</v>
      </c>
      <c r="AA171" s="14" t="str">
        <f ca="1">IFERROR(__xludf.DUMMYFUNCTION("""COMPUTED_VALUE"""),"Niue")</f>
        <v>Niue</v>
      </c>
      <c r="AB171" s="14" t="str">
        <f ca="1">IFERROR(__xludf.DUMMYFUNCTION("""COMPUTED_VALUE"""),"NİUE")</f>
        <v>NİUE</v>
      </c>
      <c r="AC171" s="14" t="str">
        <f ca="1">IFERROR(__xludf.DUMMYFUNCTION("""COMPUTED_VALUE"""),"Ніуе")</f>
        <v>Ніуе</v>
      </c>
      <c r="AD171" s="14" t="str">
        <f ca="1">IFERROR(__xludf.DUMMYFUNCTION("""COMPUTED_VALUE"""),"Niue")</f>
        <v>Niue</v>
      </c>
      <c r="AE171" s="14" t="str">
        <f ca="1">IFERROR(__xludf.DUMMYFUNCTION("""COMPUTED_VALUE"""),"Ниуэ")</f>
        <v>Ниуэ</v>
      </c>
      <c r="AF171" s="14"/>
    </row>
    <row r="172" spans="1:32" ht="13" x14ac:dyDescent="0.15">
      <c r="A172" s="14" t="str">
        <f ca="1">IFERROR(__xludf.DUMMYFUNCTION("""COMPUTED_VALUE"""),"NZ")</f>
        <v>NZ</v>
      </c>
      <c r="B172" s="14" t="str">
        <f ca="1">IFERROR(__xludf.DUMMYFUNCTION("""COMPUTED_VALUE"""),"New Zealand")</f>
        <v>New Zealand</v>
      </c>
      <c r="C172" s="14" t="str">
        <f ca="1">IFERROR(__xludf.DUMMYFUNCTION("""COMPUTED_VALUE"""),"نيوزيلاندا")</f>
        <v>نيوزيلاندا</v>
      </c>
      <c r="D172" s="14" t="str">
        <f ca="1">IFERROR(__xludf.DUMMYFUNCTION("""COMPUTED_VALUE"""),"Нова Зеландия")</f>
        <v>Нова Зеландия</v>
      </c>
      <c r="E172" s="14" t="str">
        <f ca="1">IFERROR(__xludf.DUMMYFUNCTION("""COMPUTED_VALUE"""),"Nova Zelândia")</f>
        <v>Nova Zelândia</v>
      </c>
      <c r="F172" s="14" t="str">
        <f ca="1">IFERROR(__xludf.DUMMYFUNCTION("""COMPUTED_VALUE"""),"Новая Зеландыя")</f>
        <v>Новая Зеландыя</v>
      </c>
      <c r="G172" s="14" t="str">
        <f ca="1">IFERROR(__xludf.DUMMYFUNCTION("""COMPUTED_VALUE"""),"Nový Zéland")</f>
        <v>Nový Zéland</v>
      </c>
      <c r="H172" s="14" t="str">
        <f ca="1">IFERROR(__xludf.DUMMYFUNCTION("""COMPUTED_VALUE"""),"Neuseeland")</f>
        <v>Neuseeland</v>
      </c>
      <c r="I172" s="14" t="str">
        <f ca="1">IFERROR(__xludf.DUMMYFUNCTION("""COMPUTED_VALUE"""),"Nueva Zelandia")</f>
        <v>Nueva Zelandia</v>
      </c>
      <c r="J172" s="14" t="str">
        <f ca="1">IFERROR(__xludf.DUMMYFUNCTION("""COMPUTED_VALUE"""),"Uusi-Seelanti")</f>
        <v>Uusi-Seelanti</v>
      </c>
      <c r="K172" s="14" t="str">
        <f ca="1">IFERROR(__xludf.DUMMYFUNCTION("""COMPUTED_VALUE"""),"Νέα Ζηλανδία")</f>
        <v>Νέα Ζηλανδία</v>
      </c>
      <c r="L172" s="14" t="str">
        <f ca="1">IFERROR(__xludf.DUMMYFUNCTION("""COMPUTED_VALUE"""),"ΝΕΑ ΖΗΛΑΝΔΙΑ")</f>
        <v>ΝΕΑ ΖΗΛΑΝΔΙΑ</v>
      </c>
      <c r="M172" s="14" t="str">
        <f ca="1">IFERROR(__xludf.DUMMYFUNCTION("""COMPUTED_VALUE"""),"Novi Zeland")</f>
        <v>Novi Zeland</v>
      </c>
      <c r="N172" s="14" t="str">
        <f ca="1">IFERROR(__xludf.DUMMYFUNCTION("""COMPUTED_VALUE"""),"Új-Zéland")</f>
        <v>Új-Zéland</v>
      </c>
      <c r="O172" s="14" t="str">
        <f ca="1">IFERROR(__xludf.DUMMYFUNCTION("""COMPUTED_VALUE"""),"Selandia Baru")</f>
        <v>Selandia Baru</v>
      </c>
      <c r="P172" s="14" t="str">
        <f ca="1">IFERROR(__xludf.DUMMYFUNCTION("""COMPUTED_VALUE"""),"Nuova Zelanda")</f>
        <v>Nuova Zelanda</v>
      </c>
      <c r="Q172" s="14" t="str">
        <f ca="1">IFERROR(__xludf.DUMMYFUNCTION("""COMPUTED_VALUE"""),"뉴질랜드")</f>
        <v>뉴질랜드</v>
      </c>
      <c r="R172" s="14" t="str">
        <f ca="1">IFERROR(__xludf.DUMMYFUNCTION("""COMPUTED_VALUE"""),"Nowa Zelandia")</f>
        <v>Nowa Zelandia</v>
      </c>
      <c r="S172" s="14" t="str">
        <f ca="1">IFERROR(__xludf.DUMMYFUNCTION("""COMPUTED_VALUE"""),"Nova Zelândia")</f>
        <v>Nova Zelândia</v>
      </c>
      <c r="T172" s="14" t="str">
        <f ca="1">IFERROR(__xludf.DUMMYFUNCTION("""COMPUTED_VALUE"""),"Noua Zeelandă")</f>
        <v>Noua Zeelandă</v>
      </c>
      <c r="U172" s="14" t="str">
        <f ca="1">IFERROR(__xludf.DUMMYFUNCTION("""COMPUTED_VALUE"""),"Novi Zeland")</f>
        <v>Novi Zeland</v>
      </c>
      <c r="V172" s="14" t="str">
        <f ca="1">IFERROR(__xludf.DUMMYFUNCTION("""COMPUTED_VALUE"""),"Новая Зеландия")</f>
        <v>Новая Зеландия</v>
      </c>
      <c r="W172" s="14" t="str">
        <f ca="1">IFERROR(__xludf.DUMMYFUNCTION("""COMPUTED_VALUE"""),"Nya Zeeland")</f>
        <v>Nya Zeeland</v>
      </c>
      <c r="X172" s="14" t="str">
        <f ca="1">IFERROR(__xludf.DUMMYFUNCTION("""COMPUTED_VALUE"""),"Nova Zelandija")</f>
        <v>Nova Zelandija</v>
      </c>
      <c r="Y172" s="14" t="str">
        <f ca="1">IFERROR(__xludf.DUMMYFUNCTION("""COMPUTED_VALUE"""),"Nový Zéland")</f>
        <v>Nový Zéland</v>
      </c>
      <c r="Z172" s="14" t="str">
        <f ca="1">IFERROR(__xludf.DUMMYFUNCTION("""COMPUTED_VALUE"""),"นิวซีแลนด์")</f>
        <v>นิวซีแลนด์</v>
      </c>
      <c r="AA172" s="14" t="str">
        <f ca="1">IFERROR(__xludf.DUMMYFUNCTION("""COMPUTED_VALUE"""),"Yeni Zelanda")</f>
        <v>Yeni Zelanda</v>
      </c>
      <c r="AB172" s="14" t="str">
        <f ca="1">IFERROR(__xludf.DUMMYFUNCTION("""COMPUTED_VALUE"""),"YENİ ZELANDA")</f>
        <v>YENİ ZELANDA</v>
      </c>
      <c r="AC172" s="14" t="str">
        <f ca="1">IFERROR(__xludf.DUMMYFUNCTION("""COMPUTED_VALUE"""),"Нова Зеландія")</f>
        <v>Нова Зеландія</v>
      </c>
      <c r="AD172" s="14" t="str">
        <f ca="1">IFERROR(__xludf.DUMMYFUNCTION("""COMPUTED_VALUE"""),"New Zealand")</f>
        <v>New Zealand</v>
      </c>
      <c r="AE172" s="14" t="str">
        <f ca="1">IFERROR(__xludf.DUMMYFUNCTION("""COMPUTED_VALUE"""),"Жаңа Зеландия")</f>
        <v>Жаңа Зеландия</v>
      </c>
      <c r="AF172" s="14"/>
    </row>
    <row r="173" spans="1:32" ht="13" x14ac:dyDescent="0.15">
      <c r="A173" s="14" t="str">
        <f ca="1">IFERROR(__xludf.DUMMYFUNCTION("""COMPUTED_VALUE"""),"OM")</f>
        <v>OM</v>
      </c>
      <c r="B173" s="14" t="str">
        <f ca="1">IFERROR(__xludf.DUMMYFUNCTION("""COMPUTED_VALUE"""),"Oman")</f>
        <v>Oman</v>
      </c>
      <c r="C173" s="14" t="str">
        <f ca="1">IFERROR(__xludf.DUMMYFUNCTION("""COMPUTED_VALUE"""),"عمان")</f>
        <v>عمان</v>
      </c>
      <c r="D173" s="14" t="str">
        <f ca="1">IFERROR(__xludf.DUMMYFUNCTION("""COMPUTED_VALUE"""),"Оман")</f>
        <v>Оман</v>
      </c>
      <c r="E173" s="14" t="str">
        <f ca="1">IFERROR(__xludf.DUMMYFUNCTION("""COMPUTED_VALUE"""),"Oman")</f>
        <v>Oman</v>
      </c>
      <c r="F173" s="14" t="str">
        <f ca="1">IFERROR(__xludf.DUMMYFUNCTION("""COMPUTED_VALUE"""),"Аман")</f>
        <v>Аман</v>
      </c>
      <c r="G173" s="14" t="str">
        <f ca="1">IFERROR(__xludf.DUMMYFUNCTION("""COMPUTED_VALUE"""),"Omán")</f>
        <v>Omán</v>
      </c>
      <c r="H173" s="14" t="str">
        <f ca="1">IFERROR(__xludf.DUMMYFUNCTION("""COMPUTED_VALUE"""),"Oman")</f>
        <v>Oman</v>
      </c>
      <c r="I173" s="14" t="str">
        <f ca="1">IFERROR(__xludf.DUMMYFUNCTION("""COMPUTED_VALUE"""),"Omán")</f>
        <v>Omán</v>
      </c>
      <c r="J173" s="14" t="str">
        <f ca="1">IFERROR(__xludf.DUMMYFUNCTION("""COMPUTED_VALUE"""),"Oman")</f>
        <v>Oman</v>
      </c>
      <c r="K173" s="14" t="str">
        <f ca="1">IFERROR(__xludf.DUMMYFUNCTION("""COMPUTED_VALUE"""),"Ομάν")</f>
        <v>Ομάν</v>
      </c>
      <c r="L173" s="14" t="str">
        <f ca="1">IFERROR(__xludf.DUMMYFUNCTION("""COMPUTED_VALUE"""),"ΟΜΑΝ")</f>
        <v>ΟΜΑΝ</v>
      </c>
      <c r="M173" s="14" t="str">
        <f ca="1">IFERROR(__xludf.DUMMYFUNCTION("""COMPUTED_VALUE"""),"Oman")</f>
        <v>Oman</v>
      </c>
      <c r="N173" s="14" t="str">
        <f ca="1">IFERROR(__xludf.DUMMYFUNCTION("""COMPUTED_VALUE"""),"Omán")</f>
        <v>Omán</v>
      </c>
      <c r="O173" s="14" t="str">
        <f ca="1">IFERROR(__xludf.DUMMYFUNCTION("""COMPUTED_VALUE"""),"Oman")</f>
        <v>Oman</v>
      </c>
      <c r="P173" s="14" t="str">
        <f ca="1">IFERROR(__xludf.DUMMYFUNCTION("""COMPUTED_VALUE"""),"Oman")</f>
        <v>Oman</v>
      </c>
      <c r="Q173" s="14" t="str">
        <f ca="1">IFERROR(__xludf.DUMMYFUNCTION("""COMPUTED_VALUE"""),"오만")</f>
        <v>오만</v>
      </c>
      <c r="R173" s="14" t="str">
        <f ca="1">IFERROR(__xludf.DUMMYFUNCTION("""COMPUTED_VALUE"""),"Oman")</f>
        <v>Oman</v>
      </c>
      <c r="S173" s="14" t="str">
        <f ca="1">IFERROR(__xludf.DUMMYFUNCTION("""COMPUTED_VALUE"""),"Oman")</f>
        <v>Oman</v>
      </c>
      <c r="T173" s="14" t="str">
        <f ca="1">IFERROR(__xludf.DUMMYFUNCTION("""COMPUTED_VALUE"""),"Oman")</f>
        <v>Oman</v>
      </c>
      <c r="U173" s="14" t="str">
        <f ca="1">IFERROR(__xludf.DUMMYFUNCTION("""COMPUTED_VALUE"""),"Oman")</f>
        <v>Oman</v>
      </c>
      <c r="V173" s="14" t="str">
        <f ca="1">IFERROR(__xludf.DUMMYFUNCTION("""COMPUTED_VALUE"""),"Оман")</f>
        <v>Оман</v>
      </c>
      <c r="W173" s="14" t="str">
        <f ca="1">IFERROR(__xludf.DUMMYFUNCTION("""COMPUTED_VALUE"""),"Oman")</f>
        <v>Oman</v>
      </c>
      <c r="X173" s="14" t="str">
        <f ca="1">IFERROR(__xludf.DUMMYFUNCTION("""COMPUTED_VALUE"""),"Oman")</f>
        <v>Oman</v>
      </c>
      <c r="Y173" s="14" t="str">
        <f ca="1">IFERROR(__xludf.DUMMYFUNCTION("""COMPUTED_VALUE"""),"Omán")</f>
        <v>Omán</v>
      </c>
      <c r="Z173" s="14" t="str">
        <f ca="1">IFERROR(__xludf.DUMMYFUNCTION("""COMPUTED_VALUE"""),"โอมาน")</f>
        <v>โอมาน</v>
      </c>
      <c r="AA173" s="14" t="str">
        <f ca="1">IFERROR(__xludf.DUMMYFUNCTION("""COMPUTED_VALUE"""),"Umman")</f>
        <v>Umman</v>
      </c>
      <c r="AB173" s="14" t="str">
        <f ca="1">IFERROR(__xludf.DUMMYFUNCTION("""COMPUTED_VALUE"""),"UMMAN")</f>
        <v>UMMAN</v>
      </c>
      <c r="AC173" s="14" t="str">
        <f ca="1">IFERROR(__xludf.DUMMYFUNCTION("""COMPUTED_VALUE"""),"Оман")</f>
        <v>Оман</v>
      </c>
      <c r="AD173" s="14" t="str">
        <f ca="1">IFERROR(__xludf.DUMMYFUNCTION("""COMPUTED_VALUE"""),"Oman")</f>
        <v>Oman</v>
      </c>
      <c r="AE173" s="14" t="str">
        <f ca="1">IFERROR(__xludf.DUMMYFUNCTION("""COMPUTED_VALUE"""),"Оман")</f>
        <v>Оман</v>
      </c>
      <c r="AF173" s="14"/>
    </row>
    <row r="174" spans="1:32" ht="13" x14ac:dyDescent="0.15">
      <c r="A174" s="14" t="str">
        <f ca="1">IFERROR(__xludf.DUMMYFUNCTION("""COMPUTED_VALUE"""),"PA")</f>
        <v>PA</v>
      </c>
      <c r="B174" s="14" t="str">
        <f ca="1">IFERROR(__xludf.DUMMYFUNCTION("""COMPUTED_VALUE"""),"Panama")</f>
        <v>Panama</v>
      </c>
      <c r="C174" s="14" t="str">
        <f ca="1">IFERROR(__xludf.DUMMYFUNCTION("""COMPUTED_VALUE"""),"بنما")</f>
        <v>بنما</v>
      </c>
      <c r="D174" s="14" t="str">
        <f ca="1">IFERROR(__xludf.DUMMYFUNCTION("""COMPUTED_VALUE"""),"Панама")</f>
        <v>Панама</v>
      </c>
      <c r="E174" s="14" t="str">
        <f ca="1">IFERROR(__xludf.DUMMYFUNCTION("""COMPUTED_VALUE"""),"Panamá")</f>
        <v>Panamá</v>
      </c>
      <c r="F174" s="14" t="str">
        <f ca="1">IFERROR(__xludf.DUMMYFUNCTION("""COMPUTED_VALUE"""),"Панама")</f>
        <v>Панама</v>
      </c>
      <c r="G174" s="14" t="str">
        <f ca="1">IFERROR(__xludf.DUMMYFUNCTION("""COMPUTED_VALUE"""),"Panama")</f>
        <v>Panama</v>
      </c>
      <c r="H174" s="14" t="str">
        <f ca="1">IFERROR(__xludf.DUMMYFUNCTION("""COMPUTED_VALUE"""),"Panama")</f>
        <v>Panama</v>
      </c>
      <c r="I174" s="14" t="str">
        <f ca="1">IFERROR(__xludf.DUMMYFUNCTION("""COMPUTED_VALUE"""),"Panamá")</f>
        <v>Panamá</v>
      </c>
      <c r="J174" s="14" t="str">
        <f ca="1">IFERROR(__xludf.DUMMYFUNCTION("""COMPUTED_VALUE"""),"Panama")</f>
        <v>Panama</v>
      </c>
      <c r="K174" s="14" t="str">
        <f ca="1">IFERROR(__xludf.DUMMYFUNCTION("""COMPUTED_VALUE"""),"Παναμάς")</f>
        <v>Παναμάς</v>
      </c>
      <c r="L174" s="14" t="str">
        <f ca="1">IFERROR(__xludf.DUMMYFUNCTION("""COMPUTED_VALUE"""),"ΠΑΝΑΜΑΣ")</f>
        <v>ΠΑΝΑΜΑΣ</v>
      </c>
      <c r="M174" s="14" t="str">
        <f ca="1">IFERROR(__xludf.DUMMYFUNCTION("""COMPUTED_VALUE"""),"Panama")</f>
        <v>Panama</v>
      </c>
      <c r="N174" s="14" t="str">
        <f ca="1">IFERROR(__xludf.DUMMYFUNCTION("""COMPUTED_VALUE"""),"Panama")</f>
        <v>Panama</v>
      </c>
      <c r="O174" s="14" t="str">
        <f ca="1">IFERROR(__xludf.DUMMYFUNCTION("""COMPUTED_VALUE"""),"Panama")</f>
        <v>Panama</v>
      </c>
      <c r="P174" s="14" t="str">
        <f ca="1">IFERROR(__xludf.DUMMYFUNCTION("""COMPUTED_VALUE"""),"Panama")</f>
        <v>Panama</v>
      </c>
      <c r="Q174" s="14" t="str">
        <f ca="1">IFERROR(__xludf.DUMMYFUNCTION("""COMPUTED_VALUE"""),"파나마")</f>
        <v>파나마</v>
      </c>
      <c r="R174" s="14" t="str">
        <f ca="1">IFERROR(__xludf.DUMMYFUNCTION("""COMPUTED_VALUE"""),"Panama")</f>
        <v>Panama</v>
      </c>
      <c r="S174" s="14" t="str">
        <f ca="1">IFERROR(__xludf.DUMMYFUNCTION("""COMPUTED_VALUE"""),"Panamá")</f>
        <v>Panamá</v>
      </c>
      <c r="T174" s="14" t="str">
        <f ca="1">IFERROR(__xludf.DUMMYFUNCTION("""COMPUTED_VALUE"""),"Panama")</f>
        <v>Panama</v>
      </c>
      <c r="U174" s="14" t="str">
        <f ca="1">IFERROR(__xludf.DUMMYFUNCTION("""COMPUTED_VALUE"""),"Panama")</f>
        <v>Panama</v>
      </c>
      <c r="V174" s="14" t="str">
        <f ca="1">IFERROR(__xludf.DUMMYFUNCTION("""COMPUTED_VALUE"""),"Панама")</f>
        <v>Панама</v>
      </c>
      <c r="W174" s="14" t="str">
        <f ca="1">IFERROR(__xludf.DUMMYFUNCTION("""COMPUTED_VALUE"""),"Panama")</f>
        <v>Panama</v>
      </c>
      <c r="X174" s="14" t="str">
        <f ca="1">IFERROR(__xludf.DUMMYFUNCTION("""COMPUTED_VALUE"""),"Panama")</f>
        <v>Panama</v>
      </c>
      <c r="Y174" s="14" t="str">
        <f ca="1">IFERROR(__xludf.DUMMYFUNCTION("""COMPUTED_VALUE"""),"Panama")</f>
        <v>Panama</v>
      </c>
      <c r="Z174" s="14" t="str">
        <f ca="1">IFERROR(__xludf.DUMMYFUNCTION("""COMPUTED_VALUE"""),"ปานามา")</f>
        <v>ปานามา</v>
      </c>
      <c r="AA174" s="14" t="str">
        <f ca="1">IFERROR(__xludf.DUMMYFUNCTION("""COMPUTED_VALUE"""),"Panama")</f>
        <v>Panama</v>
      </c>
      <c r="AB174" s="14" t="str">
        <f ca="1">IFERROR(__xludf.DUMMYFUNCTION("""COMPUTED_VALUE"""),"PANAMA")</f>
        <v>PANAMA</v>
      </c>
      <c r="AC174" s="14" t="str">
        <f ca="1">IFERROR(__xludf.DUMMYFUNCTION("""COMPUTED_VALUE"""),"Панама")</f>
        <v>Панама</v>
      </c>
      <c r="AD174" s="14" t="str">
        <f ca="1">IFERROR(__xludf.DUMMYFUNCTION("""COMPUTED_VALUE"""),"Panama")</f>
        <v>Panama</v>
      </c>
      <c r="AE174" s="14" t="str">
        <f ca="1">IFERROR(__xludf.DUMMYFUNCTION("""COMPUTED_VALUE"""),"Панама")</f>
        <v>Панама</v>
      </c>
      <c r="AF174" s="14"/>
    </row>
    <row r="175" spans="1:32" ht="13" x14ac:dyDescent="0.15">
      <c r="A175" s="14" t="str">
        <f ca="1">IFERROR(__xludf.DUMMYFUNCTION("""COMPUTED_VALUE"""),"PE")</f>
        <v>PE</v>
      </c>
      <c r="B175" s="14" t="str">
        <f ca="1">IFERROR(__xludf.DUMMYFUNCTION("""COMPUTED_VALUE"""),"Peru")</f>
        <v>Peru</v>
      </c>
      <c r="C175" s="14" t="str">
        <f ca="1">IFERROR(__xludf.DUMMYFUNCTION("""COMPUTED_VALUE"""),"بيرو")</f>
        <v>بيرو</v>
      </c>
      <c r="D175" s="14" t="str">
        <f ca="1">IFERROR(__xludf.DUMMYFUNCTION("""COMPUTED_VALUE"""),"Перу")</f>
        <v>Перу</v>
      </c>
      <c r="E175" s="14" t="str">
        <f ca="1">IFERROR(__xludf.DUMMYFUNCTION("""COMPUTED_VALUE"""),"Peru")</f>
        <v>Peru</v>
      </c>
      <c r="F175" s="14" t="str">
        <f ca="1">IFERROR(__xludf.DUMMYFUNCTION("""COMPUTED_VALUE"""),"Перу")</f>
        <v>Перу</v>
      </c>
      <c r="G175" s="14" t="str">
        <f ca="1">IFERROR(__xludf.DUMMYFUNCTION("""COMPUTED_VALUE"""),"Peru")</f>
        <v>Peru</v>
      </c>
      <c r="H175" s="14" t="str">
        <f ca="1">IFERROR(__xludf.DUMMYFUNCTION("""COMPUTED_VALUE"""),"Peru")</f>
        <v>Peru</v>
      </c>
      <c r="I175" s="14" t="str">
        <f ca="1">IFERROR(__xludf.DUMMYFUNCTION("""COMPUTED_VALUE"""),"Perú")</f>
        <v>Perú</v>
      </c>
      <c r="J175" s="14" t="str">
        <f ca="1">IFERROR(__xludf.DUMMYFUNCTION("""COMPUTED_VALUE"""),"Peru")</f>
        <v>Peru</v>
      </c>
      <c r="K175" s="14" t="str">
        <f ca="1">IFERROR(__xludf.DUMMYFUNCTION("""COMPUTED_VALUE"""),"Περού")</f>
        <v>Περού</v>
      </c>
      <c r="L175" s="14" t="str">
        <f ca="1">IFERROR(__xludf.DUMMYFUNCTION("""COMPUTED_VALUE"""),"ΠΕΡΟΥ")</f>
        <v>ΠΕΡΟΥ</v>
      </c>
      <c r="M175" s="14" t="str">
        <f ca="1">IFERROR(__xludf.DUMMYFUNCTION("""COMPUTED_VALUE"""),"Peru")</f>
        <v>Peru</v>
      </c>
      <c r="N175" s="14" t="str">
        <f ca="1">IFERROR(__xludf.DUMMYFUNCTION("""COMPUTED_VALUE"""),"Peru")</f>
        <v>Peru</v>
      </c>
      <c r="O175" s="14" t="str">
        <f ca="1">IFERROR(__xludf.DUMMYFUNCTION("""COMPUTED_VALUE"""),"Peru")</f>
        <v>Peru</v>
      </c>
      <c r="P175" s="14" t="str">
        <f ca="1">IFERROR(__xludf.DUMMYFUNCTION("""COMPUTED_VALUE"""),"Perù")</f>
        <v>Perù</v>
      </c>
      <c r="Q175" s="14" t="str">
        <f ca="1">IFERROR(__xludf.DUMMYFUNCTION("""COMPUTED_VALUE"""),"페루")</f>
        <v>페루</v>
      </c>
      <c r="R175" s="14" t="str">
        <f ca="1">IFERROR(__xludf.DUMMYFUNCTION("""COMPUTED_VALUE"""),"Peru")</f>
        <v>Peru</v>
      </c>
      <c r="S175" s="14" t="str">
        <f ca="1">IFERROR(__xludf.DUMMYFUNCTION("""COMPUTED_VALUE"""),"Peru")</f>
        <v>Peru</v>
      </c>
      <c r="T175" s="14" t="str">
        <f ca="1">IFERROR(__xludf.DUMMYFUNCTION("""COMPUTED_VALUE"""),"Peru")</f>
        <v>Peru</v>
      </c>
      <c r="U175" s="14" t="str">
        <f ca="1">IFERROR(__xludf.DUMMYFUNCTION("""COMPUTED_VALUE"""),"Peru")</f>
        <v>Peru</v>
      </c>
      <c r="V175" s="14" t="str">
        <f ca="1">IFERROR(__xludf.DUMMYFUNCTION("""COMPUTED_VALUE"""),"Перу")</f>
        <v>Перу</v>
      </c>
      <c r="W175" s="14" t="str">
        <f ca="1">IFERROR(__xludf.DUMMYFUNCTION("""COMPUTED_VALUE"""),"Peru")</f>
        <v>Peru</v>
      </c>
      <c r="X175" s="14" t="str">
        <f ca="1">IFERROR(__xludf.DUMMYFUNCTION("""COMPUTED_VALUE"""),"Peru")</f>
        <v>Peru</v>
      </c>
      <c r="Y175" s="14" t="str">
        <f ca="1">IFERROR(__xludf.DUMMYFUNCTION("""COMPUTED_VALUE"""),"Peru")</f>
        <v>Peru</v>
      </c>
      <c r="Z175" s="14" t="str">
        <f ca="1">IFERROR(__xludf.DUMMYFUNCTION("""COMPUTED_VALUE"""),"เปรู")</f>
        <v>เปรู</v>
      </c>
      <c r="AA175" s="14" t="str">
        <f ca="1">IFERROR(__xludf.DUMMYFUNCTION("""COMPUTED_VALUE"""),"Peru")</f>
        <v>Peru</v>
      </c>
      <c r="AB175" s="14" t="str">
        <f ca="1">IFERROR(__xludf.DUMMYFUNCTION("""COMPUTED_VALUE"""),"PERU")</f>
        <v>PERU</v>
      </c>
      <c r="AC175" s="14" t="str">
        <f ca="1">IFERROR(__xludf.DUMMYFUNCTION("""COMPUTED_VALUE"""),"Перу")</f>
        <v>Перу</v>
      </c>
      <c r="AD175" s="14" t="str">
        <f ca="1">IFERROR(__xludf.DUMMYFUNCTION("""COMPUTED_VALUE"""),"Peru")</f>
        <v>Peru</v>
      </c>
      <c r="AE175" s="14" t="str">
        <f ca="1">IFERROR(__xludf.DUMMYFUNCTION("""COMPUTED_VALUE"""),"Перу")</f>
        <v>Перу</v>
      </c>
      <c r="AF175" s="14"/>
    </row>
    <row r="176" spans="1:32" ht="13" x14ac:dyDescent="0.15">
      <c r="A176" s="14" t="str">
        <f ca="1">IFERROR(__xludf.DUMMYFUNCTION("""COMPUTED_VALUE"""),"PF")</f>
        <v>PF</v>
      </c>
      <c r="B176" s="14" t="str">
        <f ca="1">IFERROR(__xludf.DUMMYFUNCTION("""COMPUTED_VALUE"""),"French Polynesia")</f>
        <v>French Polynesia</v>
      </c>
      <c r="C176" s="14" t="str">
        <f ca="1">IFERROR(__xludf.DUMMYFUNCTION("""COMPUTED_VALUE"""),"بولينيزيا الفرنسية")</f>
        <v>بولينيزيا الفرنسية</v>
      </c>
      <c r="D176" s="14" t="str">
        <f ca="1">IFERROR(__xludf.DUMMYFUNCTION("""COMPUTED_VALUE"""),"Френска Полинезия")</f>
        <v>Френска Полинезия</v>
      </c>
      <c r="E176" s="14" t="str">
        <f ca="1">IFERROR(__xludf.DUMMYFUNCTION("""COMPUTED_VALUE"""),"Polinésia Francesa")</f>
        <v>Polinésia Francesa</v>
      </c>
      <c r="F176" s="14" t="str">
        <f ca="1">IFERROR(__xludf.DUMMYFUNCTION("""COMPUTED_VALUE"""),"Французская Палінезія")</f>
        <v>Французская Палінезія</v>
      </c>
      <c r="G176" s="14" t="str">
        <f ca="1">IFERROR(__xludf.DUMMYFUNCTION("""COMPUTED_VALUE"""),"Francouzská Polynésie")</f>
        <v>Francouzská Polynésie</v>
      </c>
      <c r="H176" s="14" t="str">
        <f ca="1">IFERROR(__xludf.DUMMYFUNCTION("""COMPUTED_VALUE"""),"Französisch-Polynesien")</f>
        <v>Französisch-Polynesien</v>
      </c>
      <c r="I176" s="14" t="str">
        <f ca="1">IFERROR(__xludf.DUMMYFUNCTION("""COMPUTED_VALUE"""),"Polinesia Francesa")</f>
        <v>Polinesia Francesa</v>
      </c>
      <c r="J176" s="14" t="str">
        <f ca="1">IFERROR(__xludf.DUMMYFUNCTION("""COMPUTED_VALUE"""),"Ranskan Polynesia")</f>
        <v>Ranskan Polynesia</v>
      </c>
      <c r="K176" s="14" t="str">
        <f ca="1">IFERROR(__xludf.DUMMYFUNCTION("""COMPUTED_VALUE"""),"Γαλλική Πολυνησία")</f>
        <v>Γαλλική Πολυνησία</v>
      </c>
      <c r="L176" s="14" t="str">
        <f ca="1">IFERROR(__xludf.DUMMYFUNCTION("""COMPUTED_VALUE"""),"ΓΑΛΛΙΚΗ ΠΟΛΥΝΗΣΙΑ")</f>
        <v>ΓΑΛΛΙΚΗ ΠΟΛΥΝΗΣΙΑ</v>
      </c>
      <c r="M176" s="14" t="str">
        <f ca="1">IFERROR(__xludf.DUMMYFUNCTION("""COMPUTED_VALUE"""),"Francuska Polinezija")</f>
        <v>Francuska Polinezija</v>
      </c>
      <c r="N176" s="14" t="str">
        <f ca="1">IFERROR(__xludf.DUMMYFUNCTION("""COMPUTED_VALUE"""),"Francia Polinézia")</f>
        <v>Francia Polinézia</v>
      </c>
      <c r="O176" s="14" t="str">
        <f ca="1">IFERROR(__xludf.DUMMYFUNCTION("""COMPUTED_VALUE"""),"Polinesia Perancis")</f>
        <v>Polinesia Perancis</v>
      </c>
      <c r="P176" s="14" t="str">
        <f ca="1">IFERROR(__xludf.DUMMYFUNCTION("""COMPUTED_VALUE"""),"Polinesia Francese")</f>
        <v>Polinesia Francese</v>
      </c>
      <c r="Q176" s="14" t="str">
        <f ca="1">IFERROR(__xludf.DUMMYFUNCTION("""COMPUTED_VALUE"""),"프랑스령 폴리네시아")</f>
        <v>프랑스령 폴리네시아</v>
      </c>
      <c r="R176" s="14" t="str">
        <f ca="1">IFERROR(__xludf.DUMMYFUNCTION("""COMPUTED_VALUE"""),"Polinezja Francuska")</f>
        <v>Polinezja Francuska</v>
      </c>
      <c r="S176" s="14" t="str">
        <f ca="1">IFERROR(__xludf.DUMMYFUNCTION("""COMPUTED_VALUE"""),"Polinésia Francesa")</f>
        <v>Polinésia Francesa</v>
      </c>
      <c r="T176" s="14" t="str">
        <f ca="1">IFERROR(__xludf.DUMMYFUNCTION("""COMPUTED_VALUE"""),"Polinezia franceză")</f>
        <v>Polinezia franceză</v>
      </c>
      <c r="U176" s="14" t="str">
        <f ca="1">IFERROR(__xludf.DUMMYFUNCTION("""COMPUTED_VALUE"""),"Francuska Polinezija")</f>
        <v>Francuska Polinezija</v>
      </c>
      <c r="V176" s="14" t="str">
        <f ca="1">IFERROR(__xludf.DUMMYFUNCTION("""COMPUTED_VALUE"""),"Французская Полинезия")</f>
        <v>Французская Полинезия</v>
      </c>
      <c r="W176" s="14" t="str">
        <f ca="1">IFERROR(__xludf.DUMMYFUNCTION("""COMPUTED_VALUE"""),"Franska Polynesien")</f>
        <v>Franska Polynesien</v>
      </c>
      <c r="X176" s="14" t="str">
        <f ca="1">IFERROR(__xludf.DUMMYFUNCTION("""COMPUTED_VALUE"""),"Francoska Polinezija")</f>
        <v>Francoska Polinezija</v>
      </c>
      <c r="Y176" s="14" t="str">
        <f ca="1">IFERROR(__xludf.DUMMYFUNCTION("""COMPUTED_VALUE"""),"Francúzska Polynézia")</f>
        <v>Francúzska Polynézia</v>
      </c>
      <c r="Z176" s="14" t="str">
        <f ca="1">IFERROR(__xludf.DUMMYFUNCTION("""COMPUTED_VALUE"""),"เฟรนช์พอลินีเชีย")</f>
        <v>เฟรนช์พอลินีเชีย</v>
      </c>
      <c r="AA176" s="14" t="str">
        <f ca="1">IFERROR(__xludf.DUMMYFUNCTION("""COMPUTED_VALUE"""),"Fransız Polinezyası")</f>
        <v>Fransız Polinezyası</v>
      </c>
      <c r="AB176" s="14" t="str">
        <f ca="1">IFERROR(__xludf.DUMMYFUNCTION("""COMPUTED_VALUE"""),"FRANSIZ POLİNEZYASI")</f>
        <v>FRANSIZ POLİNEZYASI</v>
      </c>
      <c r="AC176" s="14" t="str">
        <f ca="1">IFERROR(__xludf.DUMMYFUNCTION("""COMPUTED_VALUE"""),"Французька Полінезія")</f>
        <v>Французька Полінезія</v>
      </c>
      <c r="AD176" s="14" t="str">
        <f ca="1">IFERROR(__xludf.DUMMYFUNCTION("""COMPUTED_VALUE"""),"Polynésie thuộc Pháp")</f>
        <v>Polynésie thuộc Pháp</v>
      </c>
      <c r="AE176" s="14" t="str">
        <f ca="1">IFERROR(__xludf.DUMMYFUNCTION("""COMPUTED_VALUE"""),"Француз Полинезиясы")</f>
        <v>Француз Полинезиясы</v>
      </c>
      <c r="AF176" s="14"/>
    </row>
    <row r="177" spans="1:32" ht="13" x14ac:dyDescent="0.15">
      <c r="A177" s="14" t="str">
        <f ca="1">IFERROR(__xludf.DUMMYFUNCTION("""COMPUTED_VALUE"""),"PG")</f>
        <v>PG</v>
      </c>
      <c r="B177" s="14" t="str">
        <f ca="1">IFERROR(__xludf.DUMMYFUNCTION("""COMPUTED_VALUE"""),"Papua New Guinea")</f>
        <v>Papua New Guinea</v>
      </c>
      <c r="C177" s="14" t="str">
        <f ca="1">IFERROR(__xludf.DUMMYFUNCTION("""COMPUTED_VALUE"""),"بابوا غينيا الجديدة")</f>
        <v>بابوا غينيا الجديدة</v>
      </c>
      <c r="D177" s="14" t="str">
        <f ca="1">IFERROR(__xludf.DUMMYFUNCTION("""COMPUTED_VALUE"""),"Папуа Нова Гвинея")</f>
        <v>Папуа Нова Гвинея</v>
      </c>
      <c r="E177" s="14" t="str">
        <f ca="1">IFERROR(__xludf.DUMMYFUNCTION("""COMPUTED_VALUE"""),"Papua-Nova Guiné")</f>
        <v>Papua-Nova Guiné</v>
      </c>
      <c r="F177" s="14" t="str">
        <f ca="1">IFERROR(__xludf.DUMMYFUNCTION("""COMPUTED_VALUE"""),"Папуа — Новая Гвінея")</f>
        <v>Папуа — Новая Гвінея</v>
      </c>
      <c r="G177" s="14" t="str">
        <f ca="1">IFERROR(__xludf.DUMMYFUNCTION("""COMPUTED_VALUE"""),"Papua-Nová Guinea")</f>
        <v>Papua-Nová Guinea</v>
      </c>
      <c r="H177" s="14" t="str">
        <f ca="1">IFERROR(__xludf.DUMMYFUNCTION("""COMPUTED_VALUE"""),"Papua-Neuguinea")</f>
        <v>Papua-Neuguinea</v>
      </c>
      <c r="I177" s="14" t="str">
        <f ca="1">IFERROR(__xludf.DUMMYFUNCTION("""COMPUTED_VALUE"""),"Papua Nueva Guinea")</f>
        <v>Papua Nueva Guinea</v>
      </c>
      <c r="J177" s="14" t="str">
        <f ca="1">IFERROR(__xludf.DUMMYFUNCTION("""COMPUTED_VALUE"""),"Papua-Uusi-Guinea")</f>
        <v>Papua-Uusi-Guinea</v>
      </c>
      <c r="K177" s="14" t="str">
        <f ca="1">IFERROR(__xludf.DUMMYFUNCTION("""COMPUTED_VALUE"""),"Παπούα Νέα Γουινέα")</f>
        <v>Παπούα Νέα Γουινέα</v>
      </c>
      <c r="L177" s="14" t="str">
        <f ca="1">IFERROR(__xludf.DUMMYFUNCTION("""COMPUTED_VALUE"""),"ΠΑΠΟΥΑ ΝΕΑ ΓΟΥΙΝΕΑ")</f>
        <v>ΠΑΠΟΥΑ ΝΕΑ ΓΟΥΙΝΕΑ</v>
      </c>
      <c r="M177" s="14" t="str">
        <f ca="1">IFERROR(__xludf.DUMMYFUNCTION("""COMPUTED_VALUE"""),"Papua Nova Gvineja")</f>
        <v>Papua Nova Gvineja</v>
      </c>
      <c r="N177" s="14" t="str">
        <f ca="1">IFERROR(__xludf.DUMMYFUNCTION("""COMPUTED_VALUE"""),"Pápua Új-Guinea")</f>
        <v>Pápua Új-Guinea</v>
      </c>
      <c r="O177" s="14" t="str">
        <f ca="1">IFERROR(__xludf.DUMMYFUNCTION("""COMPUTED_VALUE"""),"Papua Nugini")</f>
        <v>Papua Nugini</v>
      </c>
      <c r="P177" s="14" t="str">
        <f ca="1">IFERROR(__xludf.DUMMYFUNCTION("""COMPUTED_VALUE"""),"Papua Nuova Guinea")</f>
        <v>Papua Nuova Guinea</v>
      </c>
      <c r="Q177" s="14" t="str">
        <f ca="1">IFERROR(__xludf.DUMMYFUNCTION("""COMPUTED_VALUE"""),"파푸아뉴기니")</f>
        <v>파푸아뉴기니</v>
      </c>
      <c r="R177" s="14" t="str">
        <f ca="1">IFERROR(__xludf.DUMMYFUNCTION("""COMPUTED_VALUE"""),"Papua-Nowa Gwinea")</f>
        <v>Papua-Nowa Gwinea</v>
      </c>
      <c r="S177" s="14" t="str">
        <f ca="1">IFERROR(__xludf.DUMMYFUNCTION("""COMPUTED_VALUE"""),"Papua-Nova Guiné")</f>
        <v>Papua-Nova Guiné</v>
      </c>
      <c r="T177" s="14" t="str">
        <f ca="1">IFERROR(__xludf.DUMMYFUNCTION("""COMPUTED_VALUE"""),"Papua Noua Guinee")</f>
        <v>Papua Noua Guinee</v>
      </c>
      <c r="U177" s="14" t="str">
        <f ca="1">IFERROR(__xludf.DUMMYFUNCTION("""COMPUTED_VALUE"""),"Papua Nova Gvineja")</f>
        <v>Papua Nova Gvineja</v>
      </c>
      <c r="V177" s="14" t="str">
        <f ca="1">IFERROR(__xludf.DUMMYFUNCTION("""COMPUTED_VALUE"""),"Папуа — Новая Гвинея")</f>
        <v>Папуа — Новая Гвинея</v>
      </c>
      <c r="W177" s="14" t="str">
        <f ca="1">IFERROR(__xludf.DUMMYFUNCTION("""COMPUTED_VALUE"""),"Papua Nya Guinea")</f>
        <v>Papua Nya Guinea</v>
      </c>
      <c r="X177" s="14" t="str">
        <f ca="1">IFERROR(__xludf.DUMMYFUNCTION("""COMPUTED_VALUE"""),"Papua Nova Gvineja")</f>
        <v>Papua Nova Gvineja</v>
      </c>
      <c r="Y177" s="14" t="str">
        <f ca="1">IFERROR(__xludf.DUMMYFUNCTION("""COMPUTED_VALUE"""),"Papua-Nová Guinea")</f>
        <v>Papua-Nová Guinea</v>
      </c>
      <c r="Z177" s="14" t="str">
        <f ca="1">IFERROR(__xludf.DUMMYFUNCTION("""COMPUTED_VALUE"""),"ปาปัวนิวกินี")</f>
        <v>ปาปัวนิวกินี</v>
      </c>
      <c r="AA177" s="14" t="str">
        <f ca="1">IFERROR(__xludf.DUMMYFUNCTION("""COMPUTED_VALUE"""),"Papua Yeni Gine")</f>
        <v>Papua Yeni Gine</v>
      </c>
      <c r="AB177" s="14" t="str">
        <f ca="1">IFERROR(__xludf.DUMMYFUNCTION("""COMPUTED_VALUE"""),"PAPUA YENİ GİNE")</f>
        <v>PAPUA YENİ GİNE</v>
      </c>
      <c r="AC177" s="14" t="str">
        <f ca="1">IFERROR(__xludf.DUMMYFUNCTION("""COMPUTED_VALUE"""),"Папуа Нова Гвінея")</f>
        <v>Папуа Нова Гвінея</v>
      </c>
      <c r="AD177" s="14" t="str">
        <f ca="1">IFERROR(__xludf.DUMMYFUNCTION("""COMPUTED_VALUE"""),"Papua New Guinea")</f>
        <v>Papua New Guinea</v>
      </c>
      <c r="AE177" s="14" t="str">
        <f ca="1">IFERROR(__xludf.DUMMYFUNCTION("""COMPUTED_VALUE"""),"Папуа — Жаңа Гвинея")</f>
        <v>Папуа — Жаңа Гвинея</v>
      </c>
      <c r="AF177" s="14"/>
    </row>
    <row r="178" spans="1:32" ht="13" x14ac:dyDescent="0.15">
      <c r="A178" s="14" t="str">
        <f ca="1">IFERROR(__xludf.DUMMYFUNCTION("""COMPUTED_VALUE"""),"PH")</f>
        <v>PH</v>
      </c>
      <c r="B178" s="14" t="str">
        <f ca="1">IFERROR(__xludf.DUMMYFUNCTION("""COMPUTED_VALUE"""),"Philippines")</f>
        <v>Philippines</v>
      </c>
      <c r="C178" s="14" t="str">
        <f ca="1">IFERROR(__xludf.DUMMYFUNCTION("""COMPUTED_VALUE"""),"الفيلبين")</f>
        <v>الفيلبين</v>
      </c>
      <c r="D178" s="14" t="str">
        <f ca="1">IFERROR(__xludf.DUMMYFUNCTION("""COMPUTED_VALUE"""),"Филипини")</f>
        <v>Филипини</v>
      </c>
      <c r="E178" s="14" t="str">
        <f ca="1">IFERROR(__xludf.DUMMYFUNCTION("""COMPUTED_VALUE"""),"Filipinas")</f>
        <v>Filipinas</v>
      </c>
      <c r="F178" s="14" t="str">
        <f ca="1">IFERROR(__xludf.DUMMYFUNCTION("""COMPUTED_VALUE"""),"Філіпіны")</f>
        <v>Філіпіны</v>
      </c>
      <c r="G178" s="14" t="str">
        <f ca="1">IFERROR(__xludf.DUMMYFUNCTION("""COMPUTED_VALUE"""),"Filipíny")</f>
        <v>Filipíny</v>
      </c>
      <c r="H178" s="14" t="str">
        <f ca="1">IFERROR(__xludf.DUMMYFUNCTION("""COMPUTED_VALUE"""),"Philippinen")</f>
        <v>Philippinen</v>
      </c>
      <c r="I178" s="14" t="str">
        <f ca="1">IFERROR(__xludf.DUMMYFUNCTION("""COMPUTED_VALUE"""),"Filipinas")</f>
        <v>Filipinas</v>
      </c>
      <c r="J178" s="14" t="str">
        <f ca="1">IFERROR(__xludf.DUMMYFUNCTION("""COMPUTED_VALUE"""),"Filippiinit")</f>
        <v>Filippiinit</v>
      </c>
      <c r="K178" s="14" t="str">
        <f ca="1">IFERROR(__xludf.DUMMYFUNCTION("""COMPUTED_VALUE"""),"Φιλιππίνες")</f>
        <v>Φιλιππίνες</v>
      </c>
      <c r="L178" s="14" t="str">
        <f ca="1">IFERROR(__xludf.DUMMYFUNCTION("""COMPUTED_VALUE"""),"ΦΙΛΙΠΠΙΝΕΣ")</f>
        <v>ΦΙΛΙΠΠΙΝΕΣ</v>
      </c>
      <c r="M178" s="14" t="str">
        <f ca="1">IFERROR(__xludf.DUMMYFUNCTION("""COMPUTED_VALUE"""),"Filipini")</f>
        <v>Filipini</v>
      </c>
      <c r="N178" s="14" t="str">
        <f ca="1">IFERROR(__xludf.DUMMYFUNCTION("""COMPUTED_VALUE"""),"Fülöp-szigetek")</f>
        <v>Fülöp-szigetek</v>
      </c>
      <c r="O178" s="14" t="str">
        <f ca="1">IFERROR(__xludf.DUMMYFUNCTION("""COMPUTED_VALUE"""),"Filipina")</f>
        <v>Filipina</v>
      </c>
      <c r="P178" s="14" t="str">
        <f ca="1">IFERROR(__xludf.DUMMYFUNCTION("""COMPUTED_VALUE"""),"Filippine")</f>
        <v>Filippine</v>
      </c>
      <c r="Q178" s="14" t="str">
        <f ca="1">IFERROR(__xludf.DUMMYFUNCTION("""COMPUTED_VALUE"""),"필리핀")</f>
        <v>필리핀</v>
      </c>
      <c r="R178" s="14" t="str">
        <f ca="1">IFERROR(__xludf.DUMMYFUNCTION("""COMPUTED_VALUE"""),"Filipiny")</f>
        <v>Filipiny</v>
      </c>
      <c r="S178" s="14" t="str">
        <f ca="1">IFERROR(__xludf.DUMMYFUNCTION("""COMPUTED_VALUE"""),"Filipinas")</f>
        <v>Filipinas</v>
      </c>
      <c r="T178" s="14" t="str">
        <f ca="1">IFERROR(__xludf.DUMMYFUNCTION("""COMPUTED_VALUE"""),"Filipine")</f>
        <v>Filipine</v>
      </c>
      <c r="U178" s="14" t="str">
        <f ca="1">IFERROR(__xludf.DUMMYFUNCTION("""COMPUTED_VALUE"""),"Filipini")</f>
        <v>Filipini</v>
      </c>
      <c r="V178" s="14" t="str">
        <f ca="1">IFERROR(__xludf.DUMMYFUNCTION("""COMPUTED_VALUE"""),"Филиппины")</f>
        <v>Филиппины</v>
      </c>
      <c r="W178" s="14" t="str">
        <f ca="1">IFERROR(__xludf.DUMMYFUNCTION("""COMPUTED_VALUE"""),"Filippinerna")</f>
        <v>Filippinerna</v>
      </c>
      <c r="X178" s="14" t="str">
        <f ca="1">IFERROR(__xludf.DUMMYFUNCTION("""COMPUTED_VALUE"""),"Filipini")</f>
        <v>Filipini</v>
      </c>
      <c r="Y178" s="14" t="str">
        <f ca="1">IFERROR(__xludf.DUMMYFUNCTION("""COMPUTED_VALUE"""),"Filipíny")</f>
        <v>Filipíny</v>
      </c>
      <c r="Z178" s="14" t="str">
        <f ca="1">IFERROR(__xludf.DUMMYFUNCTION("""COMPUTED_VALUE"""),"ฟิลิปปินส์")</f>
        <v>ฟิลิปปินส์</v>
      </c>
      <c r="AA178" s="14" t="str">
        <f ca="1">IFERROR(__xludf.DUMMYFUNCTION("""COMPUTED_VALUE"""),"Filipinler")</f>
        <v>Filipinler</v>
      </c>
      <c r="AB178" s="14" t="str">
        <f ca="1">IFERROR(__xludf.DUMMYFUNCTION("""COMPUTED_VALUE"""),"FİLİPİNLER")</f>
        <v>FİLİPİNLER</v>
      </c>
      <c r="AC178" s="14" t="str">
        <f ca="1">IFERROR(__xludf.DUMMYFUNCTION("""COMPUTED_VALUE"""),"Філіппіни")</f>
        <v>Філіппіни</v>
      </c>
      <c r="AD178" s="14" t="str">
        <f ca="1">IFERROR(__xludf.DUMMYFUNCTION("""COMPUTED_VALUE"""),"Philippines")</f>
        <v>Philippines</v>
      </c>
      <c r="AE178" s="14" t="str">
        <f ca="1">IFERROR(__xludf.DUMMYFUNCTION("""COMPUTED_VALUE"""),"Филиппиндер")</f>
        <v>Филиппиндер</v>
      </c>
      <c r="AF178" s="14"/>
    </row>
    <row r="179" spans="1:32" ht="13" x14ac:dyDescent="0.15">
      <c r="A179" s="14" t="str">
        <f ca="1">IFERROR(__xludf.DUMMYFUNCTION("""COMPUTED_VALUE"""),"PK")</f>
        <v>PK</v>
      </c>
      <c r="B179" s="14" t="str">
        <f ca="1">IFERROR(__xludf.DUMMYFUNCTION("""COMPUTED_VALUE"""),"Pakistan")</f>
        <v>Pakistan</v>
      </c>
      <c r="C179" s="14" t="str">
        <f ca="1">IFERROR(__xludf.DUMMYFUNCTION("""COMPUTED_VALUE"""),"باكستان")</f>
        <v>باكستان</v>
      </c>
      <c r="D179" s="14" t="str">
        <f ca="1">IFERROR(__xludf.DUMMYFUNCTION("""COMPUTED_VALUE"""),"Пакистан")</f>
        <v>Пакистан</v>
      </c>
      <c r="E179" s="14" t="str">
        <f ca="1">IFERROR(__xludf.DUMMYFUNCTION("""COMPUTED_VALUE"""),"Paquistão")</f>
        <v>Paquistão</v>
      </c>
      <c r="F179" s="14" t="str">
        <f ca="1">IFERROR(__xludf.DUMMYFUNCTION("""COMPUTED_VALUE"""),"Пакістан")</f>
        <v>Пакістан</v>
      </c>
      <c r="G179" s="14" t="str">
        <f ca="1">IFERROR(__xludf.DUMMYFUNCTION("""COMPUTED_VALUE"""),"Pákistán")</f>
        <v>Pákistán</v>
      </c>
      <c r="H179" s="14" t="str">
        <f ca="1">IFERROR(__xludf.DUMMYFUNCTION("""COMPUTED_VALUE"""),"Pakistan")</f>
        <v>Pakistan</v>
      </c>
      <c r="I179" s="14" t="str">
        <f ca="1">IFERROR(__xludf.DUMMYFUNCTION("""COMPUTED_VALUE"""),"Pakistán")</f>
        <v>Pakistán</v>
      </c>
      <c r="J179" s="14" t="str">
        <f ca="1">IFERROR(__xludf.DUMMYFUNCTION("""COMPUTED_VALUE"""),"Pakistan")</f>
        <v>Pakistan</v>
      </c>
      <c r="K179" s="14" t="str">
        <f ca="1">IFERROR(__xludf.DUMMYFUNCTION("""COMPUTED_VALUE"""),"Πακιστάν")</f>
        <v>Πακιστάν</v>
      </c>
      <c r="L179" s="14" t="str">
        <f ca="1">IFERROR(__xludf.DUMMYFUNCTION("""COMPUTED_VALUE"""),"ΠΑΚΙΣΤΑΝ")</f>
        <v>ΠΑΚΙΣΤΑΝ</v>
      </c>
      <c r="M179" s="14" t="str">
        <f ca="1">IFERROR(__xludf.DUMMYFUNCTION("""COMPUTED_VALUE"""),"Pakistan")</f>
        <v>Pakistan</v>
      </c>
      <c r="N179" s="14" t="str">
        <f ca="1">IFERROR(__xludf.DUMMYFUNCTION("""COMPUTED_VALUE"""),"Pakisztán")</f>
        <v>Pakisztán</v>
      </c>
      <c r="O179" s="14" t="str">
        <f ca="1">IFERROR(__xludf.DUMMYFUNCTION("""COMPUTED_VALUE"""),"Pakistan")</f>
        <v>Pakistan</v>
      </c>
      <c r="P179" s="14" t="str">
        <f ca="1">IFERROR(__xludf.DUMMYFUNCTION("""COMPUTED_VALUE"""),"Pakistan")</f>
        <v>Pakistan</v>
      </c>
      <c r="Q179" s="14" t="str">
        <f ca="1">IFERROR(__xludf.DUMMYFUNCTION("""COMPUTED_VALUE"""),"파키스탄")</f>
        <v>파키스탄</v>
      </c>
      <c r="R179" s="14" t="str">
        <f ca="1">IFERROR(__xludf.DUMMYFUNCTION("""COMPUTED_VALUE"""),"Pakistan")</f>
        <v>Pakistan</v>
      </c>
      <c r="S179" s="14" t="str">
        <f ca="1">IFERROR(__xludf.DUMMYFUNCTION("""COMPUTED_VALUE"""),"Paquistão")</f>
        <v>Paquistão</v>
      </c>
      <c r="T179" s="14" t="str">
        <f ca="1">IFERROR(__xludf.DUMMYFUNCTION("""COMPUTED_VALUE"""),"Pakistan")</f>
        <v>Pakistan</v>
      </c>
      <c r="U179" s="14" t="str">
        <f ca="1">IFERROR(__xludf.DUMMYFUNCTION("""COMPUTED_VALUE"""),"Pakistan")</f>
        <v>Pakistan</v>
      </c>
      <c r="V179" s="14" t="str">
        <f ca="1">IFERROR(__xludf.DUMMYFUNCTION("""COMPUTED_VALUE"""),"Пакистан")</f>
        <v>Пакистан</v>
      </c>
      <c r="W179" s="14" t="str">
        <f ca="1">IFERROR(__xludf.DUMMYFUNCTION("""COMPUTED_VALUE"""),"Pakistan")</f>
        <v>Pakistan</v>
      </c>
      <c r="X179" s="14" t="str">
        <f ca="1">IFERROR(__xludf.DUMMYFUNCTION("""COMPUTED_VALUE"""),"Pakistan")</f>
        <v>Pakistan</v>
      </c>
      <c r="Y179" s="14" t="str">
        <f ca="1">IFERROR(__xludf.DUMMYFUNCTION("""COMPUTED_VALUE"""),"Pakistan")</f>
        <v>Pakistan</v>
      </c>
      <c r="Z179" s="14" t="str">
        <f ca="1">IFERROR(__xludf.DUMMYFUNCTION("""COMPUTED_VALUE"""),"ปากีสถาน")</f>
        <v>ปากีสถาน</v>
      </c>
      <c r="AA179" s="14" t="str">
        <f ca="1">IFERROR(__xludf.DUMMYFUNCTION("""COMPUTED_VALUE"""),"Pakistan")</f>
        <v>Pakistan</v>
      </c>
      <c r="AB179" s="14" t="str">
        <f ca="1">IFERROR(__xludf.DUMMYFUNCTION("""COMPUTED_VALUE"""),"PAKİSTAN")</f>
        <v>PAKİSTAN</v>
      </c>
      <c r="AC179" s="14" t="str">
        <f ca="1">IFERROR(__xludf.DUMMYFUNCTION("""COMPUTED_VALUE"""),"Пакистан")</f>
        <v>Пакистан</v>
      </c>
      <c r="AD179" s="14" t="str">
        <f ca="1">IFERROR(__xludf.DUMMYFUNCTION("""COMPUTED_VALUE"""),"Pakistan")</f>
        <v>Pakistan</v>
      </c>
      <c r="AE179" s="14" t="str">
        <f ca="1">IFERROR(__xludf.DUMMYFUNCTION("""COMPUTED_VALUE"""),"Пәкістан")</f>
        <v>Пәкістан</v>
      </c>
      <c r="AF179" s="14"/>
    </row>
    <row r="180" spans="1:32" ht="13" x14ac:dyDescent="0.15">
      <c r="A180" s="14" t="str">
        <f ca="1">IFERROR(__xludf.DUMMYFUNCTION("""COMPUTED_VALUE"""),"PL")</f>
        <v>PL</v>
      </c>
      <c r="B180" s="14" t="str">
        <f ca="1">IFERROR(__xludf.DUMMYFUNCTION("""COMPUTED_VALUE"""),"Poland")</f>
        <v>Poland</v>
      </c>
      <c r="C180" s="14" t="str">
        <f ca="1">IFERROR(__xludf.DUMMYFUNCTION("""COMPUTED_VALUE"""),"بولندا")</f>
        <v>بولندا</v>
      </c>
      <c r="D180" s="14" t="str">
        <f ca="1">IFERROR(__xludf.DUMMYFUNCTION("""COMPUTED_VALUE"""),"Полша")</f>
        <v>Полша</v>
      </c>
      <c r="E180" s="14" t="str">
        <f ca="1">IFERROR(__xludf.DUMMYFUNCTION("""COMPUTED_VALUE"""),"Polônia")</f>
        <v>Polônia</v>
      </c>
      <c r="F180" s="14" t="str">
        <f ca="1">IFERROR(__xludf.DUMMYFUNCTION("""COMPUTED_VALUE"""),"Польшча")</f>
        <v>Польшча</v>
      </c>
      <c r="G180" s="14" t="str">
        <f ca="1">IFERROR(__xludf.DUMMYFUNCTION("""COMPUTED_VALUE"""),"Polsko")</f>
        <v>Polsko</v>
      </c>
      <c r="H180" s="14" t="str">
        <f ca="1">IFERROR(__xludf.DUMMYFUNCTION("""COMPUTED_VALUE"""),"Polen")</f>
        <v>Polen</v>
      </c>
      <c r="I180" s="14" t="str">
        <f ca="1">IFERROR(__xludf.DUMMYFUNCTION("""COMPUTED_VALUE"""),"Polonia")</f>
        <v>Polonia</v>
      </c>
      <c r="J180" s="14" t="str">
        <f ca="1">IFERROR(__xludf.DUMMYFUNCTION("""COMPUTED_VALUE"""),"Puola")</f>
        <v>Puola</v>
      </c>
      <c r="K180" s="14" t="str">
        <f ca="1">IFERROR(__xludf.DUMMYFUNCTION("""COMPUTED_VALUE"""),"Πολωνία")</f>
        <v>Πολωνία</v>
      </c>
      <c r="L180" s="14" t="str">
        <f ca="1">IFERROR(__xludf.DUMMYFUNCTION("""COMPUTED_VALUE"""),"ΠΟΛΩΝΙΑ")</f>
        <v>ΠΟΛΩΝΙΑ</v>
      </c>
      <c r="M180" s="14" t="str">
        <f ca="1">IFERROR(__xludf.DUMMYFUNCTION("""COMPUTED_VALUE"""),"Poljska")</f>
        <v>Poljska</v>
      </c>
      <c r="N180" s="14" t="str">
        <f ca="1">IFERROR(__xludf.DUMMYFUNCTION("""COMPUTED_VALUE"""),"Lengyelország")</f>
        <v>Lengyelország</v>
      </c>
      <c r="O180" s="14" t="str">
        <f ca="1">IFERROR(__xludf.DUMMYFUNCTION("""COMPUTED_VALUE"""),"Polandia")</f>
        <v>Polandia</v>
      </c>
      <c r="P180" s="14" t="str">
        <f ca="1">IFERROR(__xludf.DUMMYFUNCTION("""COMPUTED_VALUE"""),"Polonia")</f>
        <v>Polonia</v>
      </c>
      <c r="Q180" s="14" t="str">
        <f ca="1">IFERROR(__xludf.DUMMYFUNCTION("""COMPUTED_VALUE"""),"폴란드")</f>
        <v>폴란드</v>
      </c>
      <c r="R180" s="14" t="str">
        <f ca="1">IFERROR(__xludf.DUMMYFUNCTION("""COMPUTED_VALUE"""),"Polska")</f>
        <v>Polska</v>
      </c>
      <c r="S180" s="14" t="str">
        <f ca="1">IFERROR(__xludf.DUMMYFUNCTION("""COMPUTED_VALUE"""),"Polónia")</f>
        <v>Polónia</v>
      </c>
      <c r="T180" s="14" t="str">
        <f ca="1">IFERROR(__xludf.DUMMYFUNCTION("""COMPUTED_VALUE"""),"Polonia")</f>
        <v>Polonia</v>
      </c>
      <c r="U180" s="14" t="str">
        <f ca="1">IFERROR(__xludf.DUMMYFUNCTION("""COMPUTED_VALUE"""),"Poljska")</f>
        <v>Poljska</v>
      </c>
      <c r="V180" s="14" t="str">
        <f ca="1">IFERROR(__xludf.DUMMYFUNCTION("""COMPUTED_VALUE"""),"Польша")</f>
        <v>Польша</v>
      </c>
      <c r="W180" s="14" t="str">
        <f ca="1">IFERROR(__xludf.DUMMYFUNCTION("""COMPUTED_VALUE"""),"Polen")</f>
        <v>Polen</v>
      </c>
      <c r="X180" s="14" t="str">
        <f ca="1">IFERROR(__xludf.DUMMYFUNCTION("""COMPUTED_VALUE"""),"Poljska")</f>
        <v>Poljska</v>
      </c>
      <c r="Y180" s="14" t="str">
        <f ca="1">IFERROR(__xludf.DUMMYFUNCTION("""COMPUTED_VALUE"""),"Poľsko")</f>
        <v>Poľsko</v>
      </c>
      <c r="Z180" s="14" t="str">
        <f ca="1">IFERROR(__xludf.DUMMYFUNCTION("""COMPUTED_VALUE"""),"โปแลนด์")</f>
        <v>โปแลนด์</v>
      </c>
      <c r="AA180" s="14" t="str">
        <f ca="1">IFERROR(__xludf.DUMMYFUNCTION("""COMPUTED_VALUE"""),"Polonya")</f>
        <v>Polonya</v>
      </c>
      <c r="AB180" s="14" t="str">
        <f ca="1">IFERROR(__xludf.DUMMYFUNCTION("""COMPUTED_VALUE"""),"POLONYA")</f>
        <v>POLONYA</v>
      </c>
      <c r="AC180" s="14" t="str">
        <f ca="1">IFERROR(__xludf.DUMMYFUNCTION("""COMPUTED_VALUE"""),"Польща")</f>
        <v>Польща</v>
      </c>
      <c r="AD180" s="14" t="str">
        <f ca="1">IFERROR(__xludf.DUMMYFUNCTION("""COMPUTED_VALUE"""),"Ba Lan")</f>
        <v>Ba Lan</v>
      </c>
      <c r="AE180" s="14" t="str">
        <f ca="1">IFERROR(__xludf.DUMMYFUNCTION("""COMPUTED_VALUE"""),"Польша")</f>
        <v>Польша</v>
      </c>
      <c r="AF180" s="14"/>
    </row>
    <row r="181" spans="1:32" ht="13" x14ac:dyDescent="0.15">
      <c r="A181" s="14" t="str">
        <f ca="1">IFERROR(__xludf.DUMMYFUNCTION("""COMPUTED_VALUE"""),"PM")</f>
        <v>PM</v>
      </c>
      <c r="B181" s="14" t="str">
        <f ca="1">IFERROR(__xludf.DUMMYFUNCTION("""COMPUTED_VALUE"""),"Saint Pierre and Miquelon")</f>
        <v>Saint Pierre and Miquelon</v>
      </c>
      <c r="C181" s="14" t="str">
        <f ca="1">IFERROR(__xludf.DUMMYFUNCTION("""COMPUTED_VALUE"""),"سانت بيير وميكولون")</f>
        <v>سانت بيير وميكولون</v>
      </c>
      <c r="D181" s="14" t="str">
        <f ca="1">IFERROR(__xludf.DUMMYFUNCTION("""COMPUTED_VALUE"""),"Сен Пиер и Микелон")</f>
        <v>Сен Пиер и Микелон</v>
      </c>
      <c r="E181" s="14" t="str">
        <f ca="1">IFERROR(__xludf.DUMMYFUNCTION("""COMPUTED_VALUE"""),"Saint Pierre et Miquelon")</f>
        <v>Saint Pierre et Miquelon</v>
      </c>
      <c r="F181" s="14" t="str">
        <f ca="1">IFERROR(__xludf.DUMMYFUNCTION("""COMPUTED_VALUE"""),"Сен-П’ер і Мікелон")</f>
        <v>Сен-П’ер і Мікелон</v>
      </c>
      <c r="G181" s="14" t="str">
        <f ca="1">IFERROR(__xludf.DUMMYFUNCTION("""COMPUTED_VALUE"""),"Saint-Pierre a Miquelon")</f>
        <v>Saint-Pierre a Miquelon</v>
      </c>
      <c r="H181" s="14" t="str">
        <f ca="1">IFERROR(__xludf.DUMMYFUNCTION("""COMPUTED_VALUE"""),"Saint-Pierre und Miquelon")</f>
        <v>Saint-Pierre und Miquelon</v>
      </c>
      <c r="I181" s="14" t="str">
        <f ca="1">IFERROR(__xludf.DUMMYFUNCTION("""COMPUTED_VALUE"""),"San Pedro y Miquelón")</f>
        <v>San Pedro y Miquelón</v>
      </c>
      <c r="J181" s="14" t="str">
        <f ca="1">IFERROR(__xludf.DUMMYFUNCTION("""COMPUTED_VALUE"""),"Saint-Pierre ja Miquelon")</f>
        <v>Saint-Pierre ja Miquelon</v>
      </c>
      <c r="K181" s="14" t="str">
        <f ca="1">IFERROR(__xludf.DUMMYFUNCTION("""COMPUTED_VALUE"""),"Σαιν Πιερ και Μικελόν")</f>
        <v>Σαιν Πιερ και Μικελόν</v>
      </c>
      <c r="L181" s="14" t="str">
        <f ca="1">IFERROR(__xludf.DUMMYFUNCTION("""COMPUTED_VALUE"""),"ΣΑΙΝ ΠΙΕΡ ΚΑΙ ΜΙΚΕΛΟΝ")</f>
        <v>ΣΑΙΝ ΠΙΕΡ ΚΑΙ ΜΙΚΕΛΟΝ</v>
      </c>
      <c r="M181" s="14" t="str">
        <f ca="1">IFERROR(__xludf.DUMMYFUNCTION("""COMPUTED_VALUE"""),"Sveti Petar i Mikelon")</f>
        <v>Sveti Petar i Mikelon</v>
      </c>
      <c r="N181" s="14" t="str">
        <f ca="1">IFERROR(__xludf.DUMMYFUNCTION("""COMPUTED_VALUE"""),"Saint-Pierre és Miquelon")</f>
        <v>Saint-Pierre és Miquelon</v>
      </c>
      <c r="O181" s="14" t="str">
        <f ca="1">IFERROR(__xludf.DUMMYFUNCTION("""COMPUTED_VALUE"""),"Saint Pierre dan Miquelon")</f>
        <v>Saint Pierre dan Miquelon</v>
      </c>
      <c r="P181" s="14" t="str">
        <f ca="1">IFERROR(__xludf.DUMMYFUNCTION("""COMPUTED_VALUE"""),"Saint-Pierre e Miquelon")</f>
        <v>Saint-Pierre e Miquelon</v>
      </c>
      <c r="Q181" s="14" t="str">
        <f ca="1">IFERROR(__xludf.DUMMYFUNCTION("""COMPUTED_VALUE"""),"생피에르 미클롱")</f>
        <v>생피에르 미클롱</v>
      </c>
      <c r="R181" s="14" t="str">
        <f ca="1">IFERROR(__xludf.DUMMYFUNCTION("""COMPUTED_VALUE"""),"Saint-Pierre i Miquelon")</f>
        <v>Saint-Pierre i Miquelon</v>
      </c>
      <c r="S181" s="14" t="str">
        <f ca="1">IFERROR(__xludf.DUMMYFUNCTION("""COMPUTED_VALUE"""),"Saint Pierre et Miquelon")</f>
        <v>Saint Pierre et Miquelon</v>
      </c>
      <c r="T181" s="14" t="str">
        <f ca="1">IFERROR(__xludf.DUMMYFUNCTION("""COMPUTED_VALUE"""),"Sfântul Pierre și Miquelon")</f>
        <v>Sfântul Pierre și Miquelon</v>
      </c>
      <c r="U181" s="14" t="str">
        <f ca="1">IFERROR(__xludf.DUMMYFUNCTION("""COMPUTED_VALUE"""),"Sveti Pjer i Mikelon")</f>
        <v>Sveti Pjer i Mikelon</v>
      </c>
      <c r="V181" s="14" t="str">
        <f ca="1">IFERROR(__xludf.DUMMYFUNCTION("""COMPUTED_VALUE"""),"Сен-Пьер и Микелон")</f>
        <v>Сен-Пьер и Микелон</v>
      </c>
      <c r="W181" s="14" t="str">
        <f ca="1">IFERROR(__xludf.DUMMYFUNCTION("""COMPUTED_VALUE"""),"Saint-Pierre och Miquelon")</f>
        <v>Saint-Pierre och Miquelon</v>
      </c>
      <c r="X181" s="14" t="str">
        <f ca="1">IFERROR(__xludf.DUMMYFUNCTION("""COMPUTED_VALUE"""),"Saint Pierre in Miquelon")</f>
        <v>Saint Pierre in Miquelon</v>
      </c>
      <c r="Y181" s="14" t="str">
        <f ca="1">IFERROR(__xludf.DUMMYFUNCTION("""COMPUTED_VALUE"""),"Saint Pierre a Miquelon")</f>
        <v>Saint Pierre a Miquelon</v>
      </c>
      <c r="Z181" s="14" t="str">
        <f ca="1">IFERROR(__xludf.DUMMYFUNCTION("""COMPUTED_VALUE"""),"แซงปีแยร์และมีเกอลง")</f>
        <v>แซงปีแยร์และมีเกอลง</v>
      </c>
      <c r="AA181" s="14" t="str">
        <f ca="1">IFERROR(__xludf.DUMMYFUNCTION("""COMPUTED_VALUE"""),"Saint Pierre ve Miquelon")</f>
        <v>Saint Pierre ve Miquelon</v>
      </c>
      <c r="AB181" s="14" t="str">
        <f ca="1">IFERROR(__xludf.DUMMYFUNCTION("""COMPUTED_VALUE"""),"SAİNT PİERRE VE MİQUELON")</f>
        <v>SAİNT PİERRE VE MİQUELON</v>
      </c>
      <c r="AC181" s="14" t="str">
        <f ca="1">IFERROR(__xludf.DUMMYFUNCTION("""COMPUTED_VALUE"""),"Сен-П’єр і Мікелон")</f>
        <v>Сен-П’єр і Мікелон</v>
      </c>
      <c r="AD181" s="14" t="str">
        <f ca="1">IFERROR(__xludf.DUMMYFUNCTION("""COMPUTED_VALUE"""),"Saint-Pierre và Miquelon")</f>
        <v>Saint-Pierre và Miquelon</v>
      </c>
      <c r="AE181" s="14" t="str">
        <f ca="1">IFERROR(__xludf.DUMMYFUNCTION("""COMPUTED_VALUE"""),"Сен-Пьер және Микелон")</f>
        <v>Сен-Пьер және Микелон</v>
      </c>
      <c r="AF181" s="14"/>
    </row>
    <row r="182" spans="1:32" ht="13" x14ac:dyDescent="0.15">
      <c r="A182" s="14" t="str">
        <f ca="1">IFERROR(__xludf.DUMMYFUNCTION("""COMPUTED_VALUE"""),"PN")</f>
        <v>PN</v>
      </c>
      <c r="B182" s="14" t="str">
        <f ca="1">IFERROR(__xludf.DUMMYFUNCTION("""COMPUTED_VALUE"""),"Pitcairn")</f>
        <v>Pitcairn</v>
      </c>
      <c r="C182" s="14" t="str">
        <f ca="1">IFERROR(__xludf.DUMMYFUNCTION("""COMPUTED_VALUE"""),"بتكايرن")</f>
        <v>بتكايرن</v>
      </c>
      <c r="D182" s="14" t="str">
        <f ca="1">IFERROR(__xludf.DUMMYFUNCTION("""COMPUTED_VALUE"""),"Питкерн")</f>
        <v>Питкерн</v>
      </c>
      <c r="E182" s="14" t="str">
        <f ca="1">IFERROR(__xludf.DUMMYFUNCTION("""COMPUTED_VALUE"""),"Pitcairn")</f>
        <v>Pitcairn</v>
      </c>
      <c r="F182" s="14" t="str">
        <f ca="1">IFERROR(__xludf.DUMMYFUNCTION("""COMPUTED_VALUE"""),"Астравы Піткэрн")</f>
        <v>Астравы Піткэрн</v>
      </c>
      <c r="G182" s="14" t="str">
        <f ca="1">IFERROR(__xludf.DUMMYFUNCTION("""COMPUTED_VALUE"""),"Pitcairnovy ostrovy")</f>
        <v>Pitcairnovy ostrovy</v>
      </c>
      <c r="H182" s="14" t="str">
        <f ca="1">IFERROR(__xludf.DUMMYFUNCTION("""COMPUTED_VALUE"""),"Pitcairninseln")</f>
        <v>Pitcairninseln</v>
      </c>
      <c r="I182" s="14" t="str">
        <f ca="1">IFERROR(__xludf.DUMMYFUNCTION("""COMPUTED_VALUE"""),"Pitcairn")</f>
        <v>Pitcairn</v>
      </c>
      <c r="J182" s="14" t="str">
        <f ca="1">IFERROR(__xludf.DUMMYFUNCTION("""COMPUTED_VALUE"""),"Pitcairn")</f>
        <v>Pitcairn</v>
      </c>
      <c r="K182" s="14" t="str">
        <f ca="1">IFERROR(__xludf.DUMMYFUNCTION("""COMPUTED_VALUE"""),"Νησιά Πίτκερν")</f>
        <v>Νησιά Πίτκερν</v>
      </c>
      <c r="L182" s="14" t="str">
        <f ca="1">IFERROR(__xludf.DUMMYFUNCTION("""COMPUTED_VALUE"""),"ΝΗΣΙΑ ΠΙΤΚΕΡΝ")</f>
        <v>ΝΗΣΙΑ ΠΙΤΚΕΡΝ</v>
      </c>
      <c r="M182" s="14" t="str">
        <f ca="1">IFERROR(__xludf.DUMMYFUNCTION("""COMPUTED_VALUE"""),"Pitcairn Otoci")</f>
        <v>Pitcairn Otoci</v>
      </c>
      <c r="N182" s="14" t="str">
        <f ca="1">IFERROR(__xludf.DUMMYFUNCTION("""COMPUTED_VALUE"""),"Pitcairn-szigetek")</f>
        <v>Pitcairn-szigetek</v>
      </c>
      <c r="O182" s="14" t="str">
        <f ca="1">IFERROR(__xludf.DUMMYFUNCTION("""COMPUTED_VALUE"""),"Pitcairn, Kepulauan")</f>
        <v>Pitcairn, Kepulauan</v>
      </c>
      <c r="P182" s="14" t="str">
        <f ca="1">IFERROR(__xludf.DUMMYFUNCTION("""COMPUTED_VALUE"""),"Isole Pitcairn")</f>
        <v>Isole Pitcairn</v>
      </c>
      <c r="Q182" s="14" t="str">
        <f ca="1">IFERROR(__xludf.DUMMYFUNCTION("""COMPUTED_VALUE"""),"핏케언 제도")</f>
        <v>핏케언 제도</v>
      </c>
      <c r="R182" s="14" t="str">
        <f ca="1">IFERROR(__xludf.DUMMYFUNCTION("""COMPUTED_VALUE"""),"Pitcairn")</f>
        <v>Pitcairn</v>
      </c>
      <c r="S182" s="14" t="str">
        <f ca="1">IFERROR(__xludf.DUMMYFUNCTION("""COMPUTED_VALUE"""),"Pitcairn")</f>
        <v>Pitcairn</v>
      </c>
      <c r="T182" s="14" t="str">
        <f ca="1">IFERROR(__xludf.DUMMYFUNCTION("""COMPUTED_VALUE"""),"Pitcairn")</f>
        <v>Pitcairn</v>
      </c>
      <c r="U182" s="14" t="str">
        <f ca="1">IFERROR(__xludf.DUMMYFUNCTION("""COMPUTED_VALUE"""),"Ostrva Pitkern")</f>
        <v>Ostrva Pitkern</v>
      </c>
      <c r="V182" s="14" t="str">
        <f ca="1">IFERROR(__xludf.DUMMYFUNCTION("""COMPUTED_VALUE"""),"Острова Питкэрн")</f>
        <v>Острова Питкэрн</v>
      </c>
      <c r="W182" s="14" t="str">
        <f ca="1">IFERROR(__xludf.DUMMYFUNCTION("""COMPUTED_VALUE"""),"Pitcairnöarna")</f>
        <v>Pitcairnöarna</v>
      </c>
      <c r="X182" s="14" t="str">
        <f ca="1">IFERROR(__xludf.DUMMYFUNCTION("""COMPUTED_VALUE"""),"Pitcairnovo otočje")</f>
        <v>Pitcairnovo otočje</v>
      </c>
      <c r="Y182" s="14" t="str">
        <f ca="1">IFERROR(__xludf.DUMMYFUNCTION("""COMPUTED_VALUE"""),"Pitcairnove ostrovy")</f>
        <v>Pitcairnove ostrovy</v>
      </c>
      <c r="Z182" s="14" t="str">
        <f ca="1">IFERROR(__xludf.DUMMYFUNCTION("""COMPUTED_VALUE"""),"หมู่เกาะพิตแคร์น")</f>
        <v>หมู่เกาะพิตแคร์น</v>
      </c>
      <c r="AA182" s="14" t="str">
        <f ca="1">IFERROR(__xludf.DUMMYFUNCTION("""COMPUTED_VALUE"""),"Pitcairn")</f>
        <v>Pitcairn</v>
      </c>
      <c r="AB182" s="14" t="str">
        <f ca="1">IFERROR(__xludf.DUMMYFUNCTION("""COMPUTED_VALUE"""),"PİTCAİRN")</f>
        <v>PİTCAİRN</v>
      </c>
      <c r="AC182" s="14" t="str">
        <f ca="1">IFERROR(__xludf.DUMMYFUNCTION("""COMPUTED_VALUE"""),"Піткерн")</f>
        <v>Піткерн</v>
      </c>
      <c r="AD182" s="14" t="str">
        <f ca="1">IFERROR(__xludf.DUMMYFUNCTION("""COMPUTED_VALUE"""),"Quần đảo Pitcairn")</f>
        <v>Quần đảo Pitcairn</v>
      </c>
      <c r="AE182" s="14" t="str">
        <f ca="1">IFERROR(__xludf.DUMMYFUNCTION("""COMPUTED_VALUE"""),"Питкэрн аралдары")</f>
        <v>Питкэрн аралдары</v>
      </c>
      <c r="AF182" s="14"/>
    </row>
    <row r="183" spans="1:32" ht="13" x14ac:dyDescent="0.15">
      <c r="A183" s="14" t="str">
        <f ca="1">IFERROR(__xludf.DUMMYFUNCTION("""COMPUTED_VALUE"""),"PR")</f>
        <v>PR</v>
      </c>
      <c r="B183" s="14" t="str">
        <f ca="1">IFERROR(__xludf.DUMMYFUNCTION("""COMPUTED_VALUE"""),"Puerto Rico")</f>
        <v>Puerto Rico</v>
      </c>
      <c r="C183" s="14" t="str">
        <f ca="1">IFERROR(__xludf.DUMMYFUNCTION("""COMPUTED_VALUE"""),"بورتوريكو")</f>
        <v>بورتوريكو</v>
      </c>
      <c r="D183" s="14" t="str">
        <f ca="1">IFERROR(__xludf.DUMMYFUNCTION("""COMPUTED_VALUE"""),"Пуерто Рико")</f>
        <v>Пуерто Рико</v>
      </c>
      <c r="E183" s="14" t="str">
        <f ca="1">IFERROR(__xludf.DUMMYFUNCTION("""COMPUTED_VALUE"""),"Porto Rico")</f>
        <v>Porto Rico</v>
      </c>
      <c r="F183" s="14" t="str">
        <f ca="1">IFERROR(__xludf.DUMMYFUNCTION("""COMPUTED_VALUE"""),"Пуэрта-Рыка")</f>
        <v>Пуэрта-Рыка</v>
      </c>
      <c r="G183" s="14" t="str">
        <f ca="1">IFERROR(__xludf.DUMMYFUNCTION("""COMPUTED_VALUE"""),"Portoriko")</f>
        <v>Portoriko</v>
      </c>
      <c r="H183" s="14" t="str">
        <f ca="1">IFERROR(__xludf.DUMMYFUNCTION("""COMPUTED_VALUE"""),"Puerto Rico")</f>
        <v>Puerto Rico</v>
      </c>
      <c r="I183" s="14" t="str">
        <f ca="1">IFERROR(__xludf.DUMMYFUNCTION("""COMPUTED_VALUE"""),"Puerto Rico")</f>
        <v>Puerto Rico</v>
      </c>
      <c r="J183" s="14" t="str">
        <f ca="1">IFERROR(__xludf.DUMMYFUNCTION("""COMPUTED_VALUE"""),"Puerto Rico")</f>
        <v>Puerto Rico</v>
      </c>
      <c r="K183" s="14" t="str">
        <f ca="1">IFERROR(__xludf.DUMMYFUNCTION("""COMPUTED_VALUE"""),"Πουέρτο Ρίκο")</f>
        <v>Πουέρτο Ρίκο</v>
      </c>
      <c r="L183" s="14" t="str">
        <f ca="1">IFERROR(__xludf.DUMMYFUNCTION("""COMPUTED_VALUE"""),"ΠΟΥΕΡΤΟ ΡΙΚΟ")</f>
        <v>ΠΟΥΕΡΤΟ ΡΙΚΟ</v>
      </c>
      <c r="M183" s="14" t="str">
        <f ca="1">IFERROR(__xludf.DUMMYFUNCTION("""COMPUTED_VALUE"""),"Portoriko")</f>
        <v>Portoriko</v>
      </c>
      <c r="N183" s="14" t="str">
        <f ca="1">IFERROR(__xludf.DUMMYFUNCTION("""COMPUTED_VALUE"""),"Puerto Rico")</f>
        <v>Puerto Rico</v>
      </c>
      <c r="O183" s="14" t="str">
        <f ca="1">IFERROR(__xludf.DUMMYFUNCTION("""COMPUTED_VALUE"""),"Puerto Riko")</f>
        <v>Puerto Riko</v>
      </c>
      <c r="P183" s="14" t="str">
        <f ca="1">IFERROR(__xludf.DUMMYFUNCTION("""COMPUTED_VALUE"""),"Porto Rico")</f>
        <v>Porto Rico</v>
      </c>
      <c r="Q183" s="14" t="str">
        <f ca="1">IFERROR(__xludf.DUMMYFUNCTION("""COMPUTED_VALUE"""),"푸에르토리코")</f>
        <v>푸에르토리코</v>
      </c>
      <c r="R183" s="14" t="str">
        <f ca="1">IFERROR(__xludf.DUMMYFUNCTION("""COMPUTED_VALUE"""),"Portoryko")</f>
        <v>Portoryko</v>
      </c>
      <c r="S183" s="14" t="str">
        <f ca="1">IFERROR(__xludf.DUMMYFUNCTION("""COMPUTED_VALUE"""),"Porto Rico")</f>
        <v>Porto Rico</v>
      </c>
      <c r="T183" s="14" t="str">
        <f ca="1">IFERROR(__xludf.DUMMYFUNCTION("""COMPUTED_VALUE"""),"Puerto Rico")</f>
        <v>Puerto Rico</v>
      </c>
      <c r="U183" s="14" t="str">
        <f ca="1">IFERROR(__xludf.DUMMYFUNCTION("""COMPUTED_VALUE"""),"Portoriko")</f>
        <v>Portoriko</v>
      </c>
      <c r="V183" s="14" t="str">
        <f ca="1">IFERROR(__xludf.DUMMYFUNCTION("""COMPUTED_VALUE"""),"Пуэрто-Рико")</f>
        <v>Пуэрто-Рико</v>
      </c>
      <c r="W183" s="14" t="str">
        <f ca="1">IFERROR(__xludf.DUMMYFUNCTION("""COMPUTED_VALUE"""),"Puerto Rico")</f>
        <v>Puerto Rico</v>
      </c>
      <c r="X183" s="14" t="str">
        <f ca="1">IFERROR(__xludf.DUMMYFUNCTION("""COMPUTED_VALUE"""),"Portoriko")</f>
        <v>Portoriko</v>
      </c>
      <c r="Y183" s="14" t="str">
        <f ca="1">IFERROR(__xludf.DUMMYFUNCTION("""COMPUTED_VALUE"""),"Portoriko")</f>
        <v>Portoriko</v>
      </c>
      <c r="Z183" s="14" t="str">
        <f ca="1">IFERROR(__xludf.DUMMYFUNCTION("""COMPUTED_VALUE"""),"ปวยร์โตรีโก")</f>
        <v>ปวยร์โตรีโก</v>
      </c>
      <c r="AA183" s="14" t="str">
        <f ca="1">IFERROR(__xludf.DUMMYFUNCTION("""COMPUTED_VALUE"""),"Porto Riko")</f>
        <v>Porto Riko</v>
      </c>
      <c r="AB183" s="14" t="str">
        <f ca="1">IFERROR(__xludf.DUMMYFUNCTION("""COMPUTED_VALUE"""),"PORTO RİKO")</f>
        <v>PORTO RİKO</v>
      </c>
      <c r="AC183" s="14" t="str">
        <f ca="1">IFERROR(__xludf.DUMMYFUNCTION("""COMPUTED_VALUE"""),"Пуерто-Рико")</f>
        <v>Пуерто-Рико</v>
      </c>
      <c r="AD183" s="14" t="str">
        <f ca="1">IFERROR(__xludf.DUMMYFUNCTION("""COMPUTED_VALUE"""),"Puerto Rico")</f>
        <v>Puerto Rico</v>
      </c>
      <c r="AE183" s="14" t="str">
        <f ca="1">IFERROR(__xludf.DUMMYFUNCTION("""COMPUTED_VALUE"""),"Пуэрто-Рико")</f>
        <v>Пуэрто-Рико</v>
      </c>
      <c r="AF183" s="14"/>
    </row>
    <row r="184" spans="1:32" ht="13" x14ac:dyDescent="0.15">
      <c r="A184" s="14" t="str">
        <f ca="1">IFERROR(__xludf.DUMMYFUNCTION("""COMPUTED_VALUE"""),"PS")</f>
        <v>PS</v>
      </c>
      <c r="B184" s="14" t="str">
        <f ca="1">IFERROR(__xludf.DUMMYFUNCTION("""COMPUTED_VALUE"""),"Palestinian Territory, Occupied")</f>
        <v>Palestinian Territory, Occupied</v>
      </c>
      <c r="C184" s="14" t="str">
        <f ca="1">IFERROR(__xludf.DUMMYFUNCTION("""COMPUTED_VALUE"""),"فلسطين")</f>
        <v>فلسطين</v>
      </c>
      <c r="D184" s="14" t="str">
        <f ca="1">IFERROR(__xludf.DUMMYFUNCTION("""COMPUTED_VALUE"""),"Палестина")</f>
        <v>Палестина</v>
      </c>
      <c r="E184" s="14" t="str">
        <f ca="1">IFERROR(__xludf.DUMMYFUNCTION("""COMPUTED_VALUE"""),"Palestina")</f>
        <v>Palestina</v>
      </c>
      <c r="F184" s="14" t="str">
        <f ca="1">IFERROR(__xludf.DUMMYFUNCTION("""COMPUTED_VALUE"""),"Палесціна")</f>
        <v>Палесціна</v>
      </c>
      <c r="G184" s="14" t="str">
        <f ca="1">IFERROR(__xludf.DUMMYFUNCTION("""COMPUTED_VALUE"""),"Palestinská autonomie")</f>
        <v>Palestinská autonomie</v>
      </c>
      <c r="H184" s="14" t="str">
        <f ca="1">IFERROR(__xludf.DUMMYFUNCTION("""COMPUTED_VALUE"""),"Staat Palästina[6]")</f>
        <v>Staat Palästina[6]</v>
      </c>
      <c r="I184" s="14" t="str">
        <f ca="1">IFERROR(__xludf.DUMMYFUNCTION("""COMPUTED_VALUE"""),"Palestina, Estado de")</f>
        <v>Palestina, Estado de</v>
      </c>
      <c r="J184" s="14" t="str">
        <f ca="1">IFERROR(__xludf.DUMMYFUNCTION("""COMPUTED_VALUE"""),"Palestiina")</f>
        <v>Palestiina</v>
      </c>
      <c r="K184" s="14" t="str">
        <f ca="1">IFERROR(__xludf.DUMMYFUNCTION("""COMPUTED_VALUE"""),"Δυτική Όχθη")</f>
        <v>Δυτική Όχθη</v>
      </c>
      <c r="L184" s="14" t="str">
        <f ca="1">IFERROR(__xludf.DUMMYFUNCTION("""COMPUTED_VALUE"""),"ΔΥΤΙΚΗ ΟΧΘΗ")</f>
        <v>ΔΥΤΙΚΗ ΟΧΘΗ</v>
      </c>
      <c r="M184" s="14"/>
      <c r="N184" s="14" t="str">
        <f ca="1">IFERROR(__xludf.DUMMYFUNCTION("""COMPUTED_VALUE"""),"Palesztina")</f>
        <v>Palesztina</v>
      </c>
      <c r="O184" s="14" t="str">
        <f ca="1">IFERROR(__xludf.DUMMYFUNCTION("""COMPUTED_VALUE"""),"Palestina")</f>
        <v>Palestina</v>
      </c>
      <c r="P184" s="14" t="str">
        <f ca="1">IFERROR(__xludf.DUMMYFUNCTION("""COMPUTED_VALUE"""),"Palestina")</f>
        <v>Palestina</v>
      </c>
      <c r="Q184" s="14" t="str">
        <f ca="1">IFERROR(__xludf.DUMMYFUNCTION("""COMPUTED_VALUE"""),"팔레스타인")</f>
        <v>팔레스타인</v>
      </c>
      <c r="R184" s="14" t="str">
        <f ca="1">IFERROR(__xludf.DUMMYFUNCTION("""COMPUTED_VALUE"""),"Palestyna")</f>
        <v>Palestyna</v>
      </c>
      <c r="S184" s="14" t="str">
        <f ca="1">IFERROR(__xludf.DUMMYFUNCTION("""COMPUTED_VALUE"""),"Palestina")</f>
        <v>Palestina</v>
      </c>
      <c r="T184" s="14" t="str">
        <f ca="1">IFERROR(__xludf.DUMMYFUNCTION("""COMPUTED_VALUE"""),"Teritoriile Palestiniene Ocupate")</f>
        <v>Teritoriile Palestiniene Ocupate</v>
      </c>
      <c r="U184" s="14" t="str">
        <f ca="1">IFERROR(__xludf.DUMMYFUNCTION("""COMPUTED_VALUE"""),"Palestina")</f>
        <v>Palestina</v>
      </c>
      <c r="V184" s="14" t="str">
        <f ca="1">IFERROR(__xludf.DUMMYFUNCTION("""COMPUTED_VALUE"""),"Государство Палестина")</f>
        <v>Государство Палестина</v>
      </c>
      <c r="W184" s="14"/>
      <c r="X184" s="14" t="str">
        <f ca="1">IFERROR(__xludf.DUMMYFUNCTION("""COMPUTED_VALUE"""),"Palestina")</f>
        <v>Palestina</v>
      </c>
      <c r="Y184" s="14" t="str">
        <f ca="1">IFERROR(__xludf.DUMMYFUNCTION("""COMPUTED_VALUE"""),"Palestína")</f>
        <v>Palestína</v>
      </c>
      <c r="Z184" s="14" t="str">
        <f ca="1">IFERROR(__xludf.DUMMYFUNCTION("""COMPUTED_VALUE"""),"ปาเลสไตน์")</f>
        <v>ปาเลสไตน์</v>
      </c>
      <c r="AA184" s="14" t="str">
        <f ca="1">IFERROR(__xludf.DUMMYFUNCTION("""COMPUTED_VALUE"""),"Filistin")</f>
        <v>Filistin</v>
      </c>
      <c r="AB184" s="14" t="str">
        <f ca="1">IFERROR(__xludf.DUMMYFUNCTION("""COMPUTED_VALUE"""),"FİLİSTİN")</f>
        <v>FİLİSTİN</v>
      </c>
      <c r="AC184" s="14" t="str">
        <f ca="1">IFERROR(__xludf.DUMMYFUNCTION("""COMPUTED_VALUE"""),"Палестинська держава")</f>
        <v>Палестинська держава</v>
      </c>
      <c r="AD184" s="14"/>
      <c r="AE184" s="14" t="str">
        <f ca="1">IFERROR(__xludf.DUMMYFUNCTION("""COMPUTED_VALUE"""),"Палестина")</f>
        <v>Палестина</v>
      </c>
      <c r="AF184" s="14"/>
    </row>
    <row r="185" spans="1:32" ht="13" x14ac:dyDescent="0.15">
      <c r="A185" s="14" t="str">
        <f ca="1">IFERROR(__xludf.DUMMYFUNCTION("""COMPUTED_VALUE"""),"PT")</f>
        <v>PT</v>
      </c>
      <c r="B185" s="14" t="str">
        <f ca="1">IFERROR(__xludf.DUMMYFUNCTION("""COMPUTED_VALUE"""),"Portugal")</f>
        <v>Portugal</v>
      </c>
      <c r="C185" s="14" t="str">
        <f ca="1">IFERROR(__xludf.DUMMYFUNCTION("""COMPUTED_VALUE"""),"البرتغال")</f>
        <v>البرتغال</v>
      </c>
      <c r="D185" s="14" t="str">
        <f ca="1">IFERROR(__xludf.DUMMYFUNCTION("""COMPUTED_VALUE"""),"Португалия")</f>
        <v>Португалия</v>
      </c>
      <c r="E185" s="14" t="str">
        <f ca="1">IFERROR(__xludf.DUMMYFUNCTION("""COMPUTED_VALUE"""),"Portugal")</f>
        <v>Portugal</v>
      </c>
      <c r="F185" s="14" t="str">
        <f ca="1">IFERROR(__xludf.DUMMYFUNCTION("""COMPUTED_VALUE"""),"Партугалія")</f>
        <v>Партугалія</v>
      </c>
      <c r="G185" s="14" t="str">
        <f ca="1">IFERROR(__xludf.DUMMYFUNCTION("""COMPUTED_VALUE"""),"Portugalsko")</f>
        <v>Portugalsko</v>
      </c>
      <c r="H185" s="14" t="str">
        <f ca="1">IFERROR(__xludf.DUMMYFUNCTION("""COMPUTED_VALUE"""),"Portugal")</f>
        <v>Portugal</v>
      </c>
      <c r="I185" s="14" t="str">
        <f ca="1">IFERROR(__xludf.DUMMYFUNCTION("""COMPUTED_VALUE"""),"Portugal")</f>
        <v>Portugal</v>
      </c>
      <c r="J185" s="14" t="str">
        <f ca="1">IFERROR(__xludf.DUMMYFUNCTION("""COMPUTED_VALUE"""),"Portugali")</f>
        <v>Portugali</v>
      </c>
      <c r="K185" s="14" t="str">
        <f ca="1">IFERROR(__xludf.DUMMYFUNCTION("""COMPUTED_VALUE"""),"Πορτογαλία")</f>
        <v>Πορτογαλία</v>
      </c>
      <c r="L185" s="14" t="str">
        <f ca="1">IFERROR(__xludf.DUMMYFUNCTION("""COMPUTED_VALUE"""),"ΠΟΡΤΟΓΑΛΙΑ")</f>
        <v>ΠΟΡΤΟΓΑΛΙΑ</v>
      </c>
      <c r="M185" s="14" t="str">
        <f ca="1">IFERROR(__xludf.DUMMYFUNCTION("""COMPUTED_VALUE"""),"Portugal")</f>
        <v>Portugal</v>
      </c>
      <c r="N185" s="14" t="str">
        <f ca="1">IFERROR(__xludf.DUMMYFUNCTION("""COMPUTED_VALUE"""),"Portugália")</f>
        <v>Portugália</v>
      </c>
      <c r="O185" s="14" t="str">
        <f ca="1">IFERROR(__xludf.DUMMYFUNCTION("""COMPUTED_VALUE"""),"Portugal")</f>
        <v>Portugal</v>
      </c>
      <c r="P185" s="14" t="str">
        <f ca="1">IFERROR(__xludf.DUMMYFUNCTION("""COMPUTED_VALUE"""),"Portogallo")</f>
        <v>Portogallo</v>
      </c>
      <c r="Q185" s="14" t="str">
        <f ca="1">IFERROR(__xludf.DUMMYFUNCTION("""COMPUTED_VALUE"""),"포르투갈")</f>
        <v>포르투갈</v>
      </c>
      <c r="R185" s="14" t="str">
        <f ca="1">IFERROR(__xludf.DUMMYFUNCTION("""COMPUTED_VALUE"""),"Portugalia")</f>
        <v>Portugalia</v>
      </c>
      <c r="S185" s="14" t="str">
        <f ca="1">IFERROR(__xludf.DUMMYFUNCTION("""COMPUTED_VALUE"""),"Portugal")</f>
        <v>Portugal</v>
      </c>
      <c r="T185" s="14" t="str">
        <f ca="1">IFERROR(__xludf.DUMMYFUNCTION("""COMPUTED_VALUE"""),"Portugalia")</f>
        <v>Portugalia</v>
      </c>
      <c r="U185" s="14" t="str">
        <f ca="1">IFERROR(__xludf.DUMMYFUNCTION("""COMPUTED_VALUE"""),"Portugal")</f>
        <v>Portugal</v>
      </c>
      <c r="V185" s="14" t="str">
        <f ca="1">IFERROR(__xludf.DUMMYFUNCTION("""COMPUTED_VALUE"""),"Португалия")</f>
        <v>Португалия</v>
      </c>
      <c r="W185" s="14" t="str">
        <f ca="1">IFERROR(__xludf.DUMMYFUNCTION("""COMPUTED_VALUE"""),"Portugal")</f>
        <v>Portugal</v>
      </c>
      <c r="X185" s="14" t="str">
        <f ca="1">IFERROR(__xludf.DUMMYFUNCTION("""COMPUTED_VALUE"""),"Portugalska")</f>
        <v>Portugalska</v>
      </c>
      <c r="Y185" s="14" t="str">
        <f ca="1">IFERROR(__xludf.DUMMYFUNCTION("""COMPUTED_VALUE"""),"Portugalsko")</f>
        <v>Portugalsko</v>
      </c>
      <c r="Z185" s="14" t="str">
        <f ca="1">IFERROR(__xludf.DUMMYFUNCTION("""COMPUTED_VALUE"""),"โปรตุเกส")</f>
        <v>โปรตุเกส</v>
      </c>
      <c r="AA185" s="14" t="str">
        <f ca="1">IFERROR(__xludf.DUMMYFUNCTION("""COMPUTED_VALUE"""),"Portekiz")</f>
        <v>Portekiz</v>
      </c>
      <c r="AB185" s="14" t="str">
        <f ca="1">IFERROR(__xludf.DUMMYFUNCTION("""COMPUTED_VALUE"""),"PORTEKİZ")</f>
        <v>PORTEKİZ</v>
      </c>
      <c r="AC185" s="14" t="str">
        <f ca="1">IFERROR(__xludf.DUMMYFUNCTION("""COMPUTED_VALUE"""),"Португалія")</f>
        <v>Португалія</v>
      </c>
      <c r="AD185" s="14" t="str">
        <f ca="1">IFERROR(__xludf.DUMMYFUNCTION("""COMPUTED_VALUE"""),"Bồ Đào Nha")</f>
        <v>Bồ Đào Nha</v>
      </c>
      <c r="AE185" s="14" t="str">
        <f ca="1">IFERROR(__xludf.DUMMYFUNCTION("""COMPUTED_VALUE"""),"Португалия")</f>
        <v>Португалия</v>
      </c>
      <c r="AF185" s="14"/>
    </row>
    <row r="186" spans="1:32" ht="13" x14ac:dyDescent="0.15">
      <c r="A186" s="14" t="str">
        <f ca="1">IFERROR(__xludf.DUMMYFUNCTION("""COMPUTED_VALUE"""),"PW")</f>
        <v>PW</v>
      </c>
      <c r="B186" s="14" t="str">
        <f ca="1">IFERROR(__xludf.DUMMYFUNCTION("""COMPUTED_VALUE"""),"Palau")</f>
        <v>Palau</v>
      </c>
      <c r="C186" s="14" t="str">
        <f ca="1">IFERROR(__xludf.DUMMYFUNCTION("""COMPUTED_VALUE"""),"بالاو")</f>
        <v>بالاو</v>
      </c>
      <c r="D186" s="14" t="str">
        <f ca="1">IFERROR(__xludf.DUMMYFUNCTION("""COMPUTED_VALUE"""),"Палау")</f>
        <v>Палау</v>
      </c>
      <c r="E186" s="14" t="str">
        <f ca="1">IFERROR(__xludf.DUMMYFUNCTION("""COMPUTED_VALUE"""),"Palau")</f>
        <v>Palau</v>
      </c>
      <c r="F186" s="14" t="str">
        <f ca="1">IFERROR(__xludf.DUMMYFUNCTION("""COMPUTED_VALUE"""),"Палау")</f>
        <v>Палау</v>
      </c>
      <c r="G186" s="14" t="str">
        <f ca="1">IFERROR(__xludf.DUMMYFUNCTION("""COMPUTED_VALUE"""),"Palau")</f>
        <v>Palau</v>
      </c>
      <c r="H186" s="14" t="str">
        <f ca="1">IFERROR(__xludf.DUMMYFUNCTION("""COMPUTED_VALUE"""),"Palau")</f>
        <v>Palau</v>
      </c>
      <c r="I186" s="14" t="str">
        <f ca="1">IFERROR(__xludf.DUMMYFUNCTION("""COMPUTED_VALUE"""),"Palau")</f>
        <v>Palau</v>
      </c>
      <c r="J186" s="14" t="str">
        <f ca="1">IFERROR(__xludf.DUMMYFUNCTION("""COMPUTED_VALUE"""),"Palau")</f>
        <v>Palau</v>
      </c>
      <c r="K186" s="14" t="str">
        <f ca="1">IFERROR(__xludf.DUMMYFUNCTION("""COMPUTED_VALUE"""),"Παλάου")</f>
        <v>Παλάου</v>
      </c>
      <c r="L186" s="14" t="str">
        <f ca="1">IFERROR(__xludf.DUMMYFUNCTION("""COMPUTED_VALUE"""),"ΠΑΛΑΟΥ")</f>
        <v>ΠΑΛΑΟΥ</v>
      </c>
      <c r="M186" s="14" t="str">
        <f ca="1">IFERROR(__xludf.DUMMYFUNCTION("""COMPUTED_VALUE"""),"Palau")</f>
        <v>Palau</v>
      </c>
      <c r="N186" s="14" t="str">
        <f ca="1">IFERROR(__xludf.DUMMYFUNCTION("""COMPUTED_VALUE"""),"Palau")</f>
        <v>Palau</v>
      </c>
      <c r="O186" s="14" t="str">
        <f ca="1">IFERROR(__xludf.DUMMYFUNCTION("""COMPUTED_VALUE"""),"Palau")</f>
        <v>Palau</v>
      </c>
      <c r="P186" s="14" t="str">
        <f ca="1">IFERROR(__xludf.DUMMYFUNCTION("""COMPUTED_VALUE"""),"Palau")</f>
        <v>Palau</v>
      </c>
      <c r="Q186" s="14" t="str">
        <f ca="1">IFERROR(__xludf.DUMMYFUNCTION("""COMPUTED_VALUE"""),"팔라우")</f>
        <v>팔라우</v>
      </c>
      <c r="R186" s="14" t="str">
        <f ca="1">IFERROR(__xludf.DUMMYFUNCTION("""COMPUTED_VALUE"""),"Palau")</f>
        <v>Palau</v>
      </c>
      <c r="S186" s="14" t="str">
        <f ca="1">IFERROR(__xludf.DUMMYFUNCTION("""COMPUTED_VALUE"""),"Palau")</f>
        <v>Palau</v>
      </c>
      <c r="T186" s="14" t="str">
        <f ca="1">IFERROR(__xludf.DUMMYFUNCTION("""COMPUTED_VALUE"""),"Palau")</f>
        <v>Palau</v>
      </c>
      <c r="U186" s="14" t="str">
        <f ca="1">IFERROR(__xludf.DUMMYFUNCTION("""COMPUTED_VALUE"""),"Palau")</f>
        <v>Palau</v>
      </c>
      <c r="V186" s="14" t="str">
        <f ca="1">IFERROR(__xludf.DUMMYFUNCTION("""COMPUTED_VALUE"""),"Палау")</f>
        <v>Палау</v>
      </c>
      <c r="W186" s="14" t="str">
        <f ca="1">IFERROR(__xludf.DUMMYFUNCTION("""COMPUTED_VALUE"""),"Palau")</f>
        <v>Palau</v>
      </c>
      <c r="X186" s="14" t="str">
        <f ca="1">IFERROR(__xludf.DUMMYFUNCTION("""COMPUTED_VALUE"""),"Palau")</f>
        <v>Palau</v>
      </c>
      <c r="Y186" s="14" t="str">
        <f ca="1">IFERROR(__xludf.DUMMYFUNCTION("""COMPUTED_VALUE"""),"Palau")</f>
        <v>Palau</v>
      </c>
      <c r="Z186" s="14" t="str">
        <f ca="1">IFERROR(__xludf.DUMMYFUNCTION("""COMPUTED_VALUE"""),"ปาเลา")</f>
        <v>ปาเลา</v>
      </c>
      <c r="AA186" s="14" t="str">
        <f ca="1">IFERROR(__xludf.DUMMYFUNCTION("""COMPUTED_VALUE"""),"Palau")</f>
        <v>Palau</v>
      </c>
      <c r="AB186" s="14" t="str">
        <f ca="1">IFERROR(__xludf.DUMMYFUNCTION("""COMPUTED_VALUE"""),"PALAU")</f>
        <v>PALAU</v>
      </c>
      <c r="AC186" s="14" t="str">
        <f ca="1">IFERROR(__xludf.DUMMYFUNCTION("""COMPUTED_VALUE"""),"Палау")</f>
        <v>Палау</v>
      </c>
      <c r="AD186" s="14" t="str">
        <f ca="1">IFERROR(__xludf.DUMMYFUNCTION("""COMPUTED_VALUE"""),"Palau")</f>
        <v>Palau</v>
      </c>
      <c r="AE186" s="14" t="str">
        <f ca="1">IFERROR(__xludf.DUMMYFUNCTION("""COMPUTED_VALUE"""),"Палау Республикасы")</f>
        <v>Палау Республикасы</v>
      </c>
      <c r="AF186" s="14"/>
    </row>
    <row r="187" spans="1:32" ht="13" x14ac:dyDescent="0.15">
      <c r="A187" s="14" t="str">
        <f ca="1">IFERROR(__xludf.DUMMYFUNCTION("""COMPUTED_VALUE"""),"PY")</f>
        <v>PY</v>
      </c>
      <c r="B187" s="14" t="str">
        <f ca="1">IFERROR(__xludf.DUMMYFUNCTION("""COMPUTED_VALUE"""),"Paraguay")</f>
        <v>Paraguay</v>
      </c>
      <c r="C187" s="14" t="str">
        <f ca="1">IFERROR(__xludf.DUMMYFUNCTION("""COMPUTED_VALUE"""),"باراجواي")</f>
        <v>باراجواي</v>
      </c>
      <c r="D187" s="14" t="str">
        <f ca="1">IFERROR(__xludf.DUMMYFUNCTION("""COMPUTED_VALUE"""),"Парагвай")</f>
        <v>Парагвай</v>
      </c>
      <c r="E187" s="14" t="str">
        <f ca="1">IFERROR(__xludf.DUMMYFUNCTION("""COMPUTED_VALUE"""),"Paraguai")</f>
        <v>Paraguai</v>
      </c>
      <c r="F187" s="14" t="str">
        <f ca="1">IFERROR(__xludf.DUMMYFUNCTION("""COMPUTED_VALUE"""),"Парагвай")</f>
        <v>Парагвай</v>
      </c>
      <c r="G187" s="14" t="str">
        <f ca="1">IFERROR(__xludf.DUMMYFUNCTION("""COMPUTED_VALUE"""),"Paraguay")</f>
        <v>Paraguay</v>
      </c>
      <c r="H187" s="14" t="str">
        <f ca="1">IFERROR(__xludf.DUMMYFUNCTION("""COMPUTED_VALUE"""),"Paraguay")</f>
        <v>Paraguay</v>
      </c>
      <c r="I187" s="14" t="str">
        <f ca="1">IFERROR(__xludf.DUMMYFUNCTION("""COMPUTED_VALUE"""),"Paraguay")</f>
        <v>Paraguay</v>
      </c>
      <c r="J187" s="14" t="str">
        <f ca="1">IFERROR(__xludf.DUMMYFUNCTION("""COMPUTED_VALUE"""),"Paraguay")</f>
        <v>Paraguay</v>
      </c>
      <c r="K187" s="14" t="str">
        <f ca="1">IFERROR(__xludf.DUMMYFUNCTION("""COMPUTED_VALUE"""),"Παραγουάη")</f>
        <v>Παραγουάη</v>
      </c>
      <c r="L187" s="14" t="str">
        <f ca="1">IFERROR(__xludf.DUMMYFUNCTION("""COMPUTED_VALUE"""),"ΠΑΡΑΓΟΥΑΗ")</f>
        <v>ΠΑΡΑΓΟΥΑΗ</v>
      </c>
      <c r="M187" s="14" t="str">
        <f ca="1">IFERROR(__xludf.DUMMYFUNCTION("""COMPUTED_VALUE"""),"Paragvaj")</f>
        <v>Paragvaj</v>
      </c>
      <c r="N187" s="14" t="str">
        <f ca="1">IFERROR(__xludf.DUMMYFUNCTION("""COMPUTED_VALUE"""),"Paraguay")</f>
        <v>Paraguay</v>
      </c>
      <c r="O187" s="14" t="str">
        <f ca="1">IFERROR(__xludf.DUMMYFUNCTION("""COMPUTED_VALUE"""),"Paraguay")</f>
        <v>Paraguay</v>
      </c>
      <c r="P187" s="14" t="str">
        <f ca="1">IFERROR(__xludf.DUMMYFUNCTION("""COMPUTED_VALUE"""),"Paraguay")</f>
        <v>Paraguay</v>
      </c>
      <c r="Q187" s="14" t="str">
        <f ca="1">IFERROR(__xludf.DUMMYFUNCTION("""COMPUTED_VALUE"""),"파라과이")</f>
        <v>파라과이</v>
      </c>
      <c r="R187" s="14" t="str">
        <f ca="1">IFERROR(__xludf.DUMMYFUNCTION("""COMPUTED_VALUE"""),"Paragwaj")</f>
        <v>Paragwaj</v>
      </c>
      <c r="S187" s="14" t="str">
        <f ca="1">IFERROR(__xludf.DUMMYFUNCTION("""COMPUTED_VALUE"""),"Paraguai")</f>
        <v>Paraguai</v>
      </c>
      <c r="T187" s="14" t="str">
        <f ca="1">IFERROR(__xludf.DUMMYFUNCTION("""COMPUTED_VALUE"""),"Paraguay")</f>
        <v>Paraguay</v>
      </c>
      <c r="U187" s="14" t="str">
        <f ca="1">IFERROR(__xludf.DUMMYFUNCTION("""COMPUTED_VALUE"""),"Paragvaj")</f>
        <v>Paragvaj</v>
      </c>
      <c r="V187" s="14" t="str">
        <f ca="1">IFERROR(__xludf.DUMMYFUNCTION("""COMPUTED_VALUE"""),"Парагвай")</f>
        <v>Парагвай</v>
      </c>
      <c r="W187" s="14" t="str">
        <f ca="1">IFERROR(__xludf.DUMMYFUNCTION("""COMPUTED_VALUE"""),"Paraguay")</f>
        <v>Paraguay</v>
      </c>
      <c r="X187" s="14" t="str">
        <f ca="1">IFERROR(__xludf.DUMMYFUNCTION("""COMPUTED_VALUE"""),"Paragvaj")</f>
        <v>Paragvaj</v>
      </c>
      <c r="Y187" s="14" t="str">
        <f ca="1">IFERROR(__xludf.DUMMYFUNCTION("""COMPUTED_VALUE"""),"Paraguaj")</f>
        <v>Paraguaj</v>
      </c>
      <c r="Z187" s="14" t="str">
        <f ca="1">IFERROR(__xludf.DUMMYFUNCTION("""COMPUTED_VALUE"""),"ปารากวัย")</f>
        <v>ปารากวัย</v>
      </c>
      <c r="AA187" s="14" t="str">
        <f ca="1">IFERROR(__xludf.DUMMYFUNCTION("""COMPUTED_VALUE"""),"Paraguay")</f>
        <v>Paraguay</v>
      </c>
      <c r="AB187" s="14" t="str">
        <f ca="1">IFERROR(__xludf.DUMMYFUNCTION("""COMPUTED_VALUE"""),"PARAGUAY")</f>
        <v>PARAGUAY</v>
      </c>
      <c r="AC187" s="14" t="str">
        <f ca="1">IFERROR(__xludf.DUMMYFUNCTION("""COMPUTED_VALUE"""),"Парагвай")</f>
        <v>Парагвай</v>
      </c>
      <c r="AD187" s="14" t="str">
        <f ca="1">IFERROR(__xludf.DUMMYFUNCTION("""COMPUTED_VALUE"""),"Paraguay")</f>
        <v>Paraguay</v>
      </c>
      <c r="AE187" s="14" t="str">
        <f ca="1">IFERROR(__xludf.DUMMYFUNCTION("""COMPUTED_VALUE"""),"Парагвай")</f>
        <v>Парагвай</v>
      </c>
      <c r="AF187" s="14"/>
    </row>
    <row r="188" spans="1:32" ht="13" x14ac:dyDescent="0.15">
      <c r="A188" s="14" t="str">
        <f ca="1">IFERROR(__xludf.DUMMYFUNCTION("""COMPUTED_VALUE"""),"QA")</f>
        <v>QA</v>
      </c>
      <c r="B188" s="14" t="str">
        <f ca="1">IFERROR(__xludf.DUMMYFUNCTION("""COMPUTED_VALUE"""),"Qatar")</f>
        <v>Qatar</v>
      </c>
      <c r="C188" s="14" t="str">
        <f ca="1">IFERROR(__xludf.DUMMYFUNCTION("""COMPUTED_VALUE"""),"قطر")</f>
        <v>قطر</v>
      </c>
      <c r="D188" s="14" t="str">
        <f ca="1">IFERROR(__xludf.DUMMYFUNCTION("""COMPUTED_VALUE"""),"Катар")</f>
        <v>Катар</v>
      </c>
      <c r="E188" s="14" t="str">
        <f ca="1">IFERROR(__xludf.DUMMYFUNCTION("""COMPUTED_VALUE"""),"Qatar")</f>
        <v>Qatar</v>
      </c>
      <c r="F188" s="14" t="str">
        <f ca="1">IFERROR(__xludf.DUMMYFUNCTION("""COMPUTED_VALUE"""),"Катар")</f>
        <v>Катар</v>
      </c>
      <c r="G188" s="14" t="str">
        <f ca="1">IFERROR(__xludf.DUMMYFUNCTION("""COMPUTED_VALUE"""),"Katar")</f>
        <v>Katar</v>
      </c>
      <c r="H188" s="14" t="str">
        <f ca="1">IFERROR(__xludf.DUMMYFUNCTION("""COMPUTED_VALUE"""),"Katar")</f>
        <v>Katar</v>
      </c>
      <c r="I188" s="14" t="str">
        <f ca="1">IFERROR(__xludf.DUMMYFUNCTION("""COMPUTED_VALUE"""),"Qatar")</f>
        <v>Qatar</v>
      </c>
      <c r="J188" s="14" t="str">
        <f ca="1">IFERROR(__xludf.DUMMYFUNCTION("""COMPUTED_VALUE"""),"Qatar")</f>
        <v>Qatar</v>
      </c>
      <c r="K188" s="14" t="str">
        <f ca="1">IFERROR(__xludf.DUMMYFUNCTION("""COMPUTED_VALUE"""),"Κατάρ")</f>
        <v>Κατάρ</v>
      </c>
      <c r="L188" s="14" t="str">
        <f ca="1">IFERROR(__xludf.DUMMYFUNCTION("""COMPUTED_VALUE"""),"ΚΑΤΑΡ")</f>
        <v>ΚΑΤΑΡ</v>
      </c>
      <c r="M188" s="14" t="str">
        <f ca="1">IFERROR(__xludf.DUMMYFUNCTION("""COMPUTED_VALUE"""),"Katar")</f>
        <v>Katar</v>
      </c>
      <c r="N188" s="14" t="str">
        <f ca="1">IFERROR(__xludf.DUMMYFUNCTION("""COMPUTED_VALUE"""),"Katar")</f>
        <v>Katar</v>
      </c>
      <c r="O188" s="14" t="str">
        <f ca="1">IFERROR(__xludf.DUMMYFUNCTION("""COMPUTED_VALUE"""),"Qatar")</f>
        <v>Qatar</v>
      </c>
      <c r="P188" s="14" t="str">
        <f ca="1">IFERROR(__xludf.DUMMYFUNCTION("""COMPUTED_VALUE"""),"Qatar")</f>
        <v>Qatar</v>
      </c>
      <c r="Q188" s="14" t="str">
        <f ca="1">IFERROR(__xludf.DUMMYFUNCTION("""COMPUTED_VALUE"""),"카타르")</f>
        <v>카타르</v>
      </c>
      <c r="R188" s="14" t="str">
        <f ca="1">IFERROR(__xludf.DUMMYFUNCTION("""COMPUTED_VALUE"""),"Katar")</f>
        <v>Katar</v>
      </c>
      <c r="S188" s="14" t="str">
        <f ca="1">IFERROR(__xludf.DUMMYFUNCTION("""COMPUTED_VALUE"""),"Qatar")</f>
        <v>Qatar</v>
      </c>
      <c r="T188" s="14" t="str">
        <f ca="1">IFERROR(__xludf.DUMMYFUNCTION("""COMPUTED_VALUE"""),"Qatar")</f>
        <v>Qatar</v>
      </c>
      <c r="U188" s="14" t="str">
        <f ca="1">IFERROR(__xludf.DUMMYFUNCTION("""COMPUTED_VALUE"""),"Katar")</f>
        <v>Katar</v>
      </c>
      <c r="V188" s="14" t="str">
        <f ca="1">IFERROR(__xludf.DUMMYFUNCTION("""COMPUTED_VALUE"""),"Катар")</f>
        <v>Катар</v>
      </c>
      <c r="W188" s="14" t="str">
        <f ca="1">IFERROR(__xludf.DUMMYFUNCTION("""COMPUTED_VALUE"""),"Qatar")</f>
        <v>Qatar</v>
      </c>
      <c r="X188" s="14" t="str">
        <f ca="1">IFERROR(__xludf.DUMMYFUNCTION("""COMPUTED_VALUE"""),"Katar")</f>
        <v>Katar</v>
      </c>
      <c r="Y188" s="14" t="str">
        <f ca="1">IFERROR(__xludf.DUMMYFUNCTION("""COMPUTED_VALUE"""),"Katar")</f>
        <v>Katar</v>
      </c>
      <c r="Z188" s="14" t="str">
        <f ca="1">IFERROR(__xludf.DUMMYFUNCTION("""COMPUTED_VALUE"""),"กาตาร์")</f>
        <v>กาตาร์</v>
      </c>
      <c r="AA188" s="14" t="str">
        <f ca="1">IFERROR(__xludf.DUMMYFUNCTION("""COMPUTED_VALUE"""),"Katar")</f>
        <v>Katar</v>
      </c>
      <c r="AB188" s="14" t="str">
        <f ca="1">IFERROR(__xludf.DUMMYFUNCTION("""COMPUTED_VALUE"""),"KATAR")</f>
        <v>KATAR</v>
      </c>
      <c r="AC188" s="14" t="str">
        <f ca="1">IFERROR(__xludf.DUMMYFUNCTION("""COMPUTED_VALUE"""),"Катар")</f>
        <v>Катар</v>
      </c>
      <c r="AD188" s="14" t="str">
        <f ca="1">IFERROR(__xludf.DUMMYFUNCTION("""COMPUTED_VALUE"""),"Qatar")</f>
        <v>Qatar</v>
      </c>
      <c r="AE188" s="14" t="str">
        <f ca="1">IFERROR(__xludf.DUMMYFUNCTION("""COMPUTED_VALUE"""),"Катар")</f>
        <v>Катар</v>
      </c>
      <c r="AF188" s="14"/>
    </row>
    <row r="189" spans="1:32" ht="13" x14ac:dyDescent="0.15">
      <c r="A189" s="14" t="str">
        <f ca="1">IFERROR(__xludf.DUMMYFUNCTION("""COMPUTED_VALUE"""),"RE")</f>
        <v>RE</v>
      </c>
      <c r="B189" s="14" t="str">
        <f ca="1">IFERROR(__xludf.DUMMYFUNCTION("""COMPUTED_VALUE"""),"Réunion")</f>
        <v>Réunion</v>
      </c>
      <c r="C189" s="14" t="str">
        <f ca="1">IFERROR(__xludf.DUMMYFUNCTION("""COMPUTED_VALUE"""),"روينيون")</f>
        <v>روينيون</v>
      </c>
      <c r="D189" s="14" t="str">
        <f ca="1">IFERROR(__xludf.DUMMYFUNCTION("""COMPUTED_VALUE"""),"Реюнион")</f>
        <v>Реюнион</v>
      </c>
      <c r="E189" s="14" t="str">
        <f ca="1">IFERROR(__xludf.DUMMYFUNCTION("""COMPUTED_VALUE"""),"Reunião")</f>
        <v>Reunião</v>
      </c>
      <c r="F189" s="14" t="str">
        <f ca="1">IFERROR(__xludf.DUMMYFUNCTION("""COMPUTED_VALUE"""),"Рэюньён")</f>
        <v>Рэюньён</v>
      </c>
      <c r="G189" s="14" t="str">
        <f ca="1">IFERROR(__xludf.DUMMYFUNCTION("""COMPUTED_VALUE"""),"Réunion")</f>
        <v>Réunion</v>
      </c>
      <c r="H189" s="14" t="str">
        <f ca="1">IFERROR(__xludf.DUMMYFUNCTION("""COMPUTED_VALUE"""),"Réunion")</f>
        <v>Réunion</v>
      </c>
      <c r="I189" s="14" t="str">
        <f ca="1">IFERROR(__xludf.DUMMYFUNCTION("""COMPUTED_VALUE"""),"Reunión")</f>
        <v>Reunión</v>
      </c>
      <c r="J189" s="14" t="str">
        <f ca="1">IFERROR(__xludf.DUMMYFUNCTION("""COMPUTED_VALUE"""),"Réunion")</f>
        <v>Réunion</v>
      </c>
      <c r="K189" s="14" t="str">
        <f ca="1">IFERROR(__xludf.DUMMYFUNCTION("""COMPUTED_VALUE"""),"Ρεϊνιόν")</f>
        <v>Ρεϊνιόν</v>
      </c>
      <c r="L189" s="14" t="str">
        <f ca="1">IFERROR(__xludf.DUMMYFUNCTION("""COMPUTED_VALUE"""),"ΡΕΪΝΙΟΝ")</f>
        <v>ΡΕΪΝΙΟΝ</v>
      </c>
      <c r="M189" s="14" t="str">
        <f ca="1">IFERROR(__xludf.DUMMYFUNCTION("""COMPUTED_VALUE"""),"Réunion")</f>
        <v>Réunion</v>
      </c>
      <c r="N189" s="14" t="str">
        <f ca="1">IFERROR(__xludf.DUMMYFUNCTION("""COMPUTED_VALUE"""),"Réunion")</f>
        <v>Réunion</v>
      </c>
      <c r="O189" s="14" t="str">
        <f ca="1">IFERROR(__xludf.DUMMYFUNCTION("""COMPUTED_VALUE"""),"Réunion")</f>
        <v>Réunion</v>
      </c>
      <c r="P189" s="14" t="str">
        <f ca="1">IFERROR(__xludf.DUMMYFUNCTION("""COMPUTED_VALUE"""),"Riunione")</f>
        <v>Riunione</v>
      </c>
      <c r="Q189" s="14" t="str">
        <f ca="1">IFERROR(__xludf.DUMMYFUNCTION("""COMPUTED_VALUE"""),"레위니옹")</f>
        <v>레위니옹</v>
      </c>
      <c r="R189" s="14" t="str">
        <f ca="1">IFERROR(__xludf.DUMMYFUNCTION("""COMPUTED_VALUE"""),"Reunion")</f>
        <v>Reunion</v>
      </c>
      <c r="S189" s="14" t="str">
        <f ca="1">IFERROR(__xludf.DUMMYFUNCTION("""COMPUTED_VALUE"""),"Reunião")</f>
        <v>Reunião</v>
      </c>
      <c r="T189" s="14" t="str">
        <f ca="1">IFERROR(__xludf.DUMMYFUNCTION("""COMPUTED_VALUE"""),"Réunion")</f>
        <v>Réunion</v>
      </c>
      <c r="U189" s="14" t="str">
        <f ca="1">IFERROR(__xludf.DUMMYFUNCTION("""COMPUTED_VALUE"""),"Reinion")</f>
        <v>Reinion</v>
      </c>
      <c r="V189" s="14" t="str">
        <f ca="1">IFERROR(__xludf.DUMMYFUNCTION("""COMPUTED_VALUE"""),"Реюньон")</f>
        <v>Реюньон</v>
      </c>
      <c r="W189" s="14" t="str">
        <f ca="1">IFERROR(__xludf.DUMMYFUNCTION("""COMPUTED_VALUE"""),"Réunion")</f>
        <v>Réunion</v>
      </c>
      <c r="X189" s="14" t="str">
        <f ca="1">IFERROR(__xludf.DUMMYFUNCTION("""COMPUTED_VALUE"""),"Reunion")</f>
        <v>Reunion</v>
      </c>
      <c r="Y189" s="14" t="str">
        <f ca="1">IFERROR(__xludf.DUMMYFUNCTION("""COMPUTED_VALUE"""),"Réunion")</f>
        <v>Réunion</v>
      </c>
      <c r="Z189" s="14" t="str">
        <f ca="1">IFERROR(__xludf.DUMMYFUNCTION("""COMPUTED_VALUE"""),"เรอูว์นียง")</f>
        <v>เรอูว์นียง</v>
      </c>
      <c r="AA189" s="14" t="str">
        <f ca="1">IFERROR(__xludf.DUMMYFUNCTION("""COMPUTED_VALUE"""),"Reunion")</f>
        <v>Reunion</v>
      </c>
      <c r="AB189" s="14" t="str">
        <f ca="1">IFERROR(__xludf.DUMMYFUNCTION("""COMPUTED_VALUE"""),"REUNİON")</f>
        <v>REUNİON</v>
      </c>
      <c r="AC189" s="14" t="str">
        <f ca="1">IFERROR(__xludf.DUMMYFUNCTION("""COMPUTED_VALUE"""),"Реюньйон")</f>
        <v>Реюньйон</v>
      </c>
      <c r="AD189" s="14" t="str">
        <f ca="1">IFERROR(__xludf.DUMMYFUNCTION("""COMPUTED_VALUE"""),"Réunion")</f>
        <v>Réunion</v>
      </c>
      <c r="AE189" s="14" t="str">
        <f ca="1">IFERROR(__xludf.DUMMYFUNCTION("""COMPUTED_VALUE"""),"Реюньон")</f>
        <v>Реюньон</v>
      </c>
      <c r="AF189" s="14"/>
    </row>
    <row r="190" spans="1:32" ht="13" x14ac:dyDescent="0.15">
      <c r="A190" s="14" t="str">
        <f ca="1">IFERROR(__xludf.DUMMYFUNCTION("""COMPUTED_VALUE"""),"RO")</f>
        <v>RO</v>
      </c>
      <c r="B190" s="14" t="str">
        <f ca="1">IFERROR(__xludf.DUMMYFUNCTION("""COMPUTED_VALUE"""),"Romania")</f>
        <v>Romania</v>
      </c>
      <c r="C190" s="14" t="str">
        <f ca="1">IFERROR(__xludf.DUMMYFUNCTION("""COMPUTED_VALUE"""),"رومانيا")</f>
        <v>رومانيا</v>
      </c>
      <c r="D190" s="14" t="str">
        <f ca="1">IFERROR(__xludf.DUMMYFUNCTION("""COMPUTED_VALUE"""),"Румъния")</f>
        <v>Румъния</v>
      </c>
      <c r="E190" s="14" t="str">
        <f ca="1">IFERROR(__xludf.DUMMYFUNCTION("""COMPUTED_VALUE"""),"Romênia")</f>
        <v>Romênia</v>
      </c>
      <c r="F190" s="14" t="str">
        <f ca="1">IFERROR(__xludf.DUMMYFUNCTION("""COMPUTED_VALUE"""),"Румынія")</f>
        <v>Румынія</v>
      </c>
      <c r="G190" s="14" t="str">
        <f ca="1">IFERROR(__xludf.DUMMYFUNCTION("""COMPUTED_VALUE"""),"Rumunsko")</f>
        <v>Rumunsko</v>
      </c>
      <c r="H190" s="14" t="str">
        <f ca="1">IFERROR(__xludf.DUMMYFUNCTION("""COMPUTED_VALUE"""),"Rumänien")</f>
        <v>Rumänien</v>
      </c>
      <c r="I190" s="14" t="str">
        <f ca="1">IFERROR(__xludf.DUMMYFUNCTION("""COMPUTED_VALUE"""),"Rumania")</f>
        <v>Rumania</v>
      </c>
      <c r="J190" s="14" t="str">
        <f ca="1">IFERROR(__xludf.DUMMYFUNCTION("""COMPUTED_VALUE"""),"Romania")</f>
        <v>Romania</v>
      </c>
      <c r="K190" s="14" t="str">
        <f ca="1">IFERROR(__xludf.DUMMYFUNCTION("""COMPUTED_VALUE"""),"Ρουμανία")</f>
        <v>Ρουμανία</v>
      </c>
      <c r="L190" s="14" t="str">
        <f ca="1">IFERROR(__xludf.DUMMYFUNCTION("""COMPUTED_VALUE"""),"ΡΟΥΜΑΝΙΑ")</f>
        <v>ΡΟΥΜΑΝΙΑ</v>
      </c>
      <c r="M190" s="14" t="str">
        <f ca="1">IFERROR(__xludf.DUMMYFUNCTION("""COMPUTED_VALUE"""),"Rumunjska")</f>
        <v>Rumunjska</v>
      </c>
      <c r="N190" s="14" t="str">
        <f ca="1">IFERROR(__xludf.DUMMYFUNCTION("""COMPUTED_VALUE"""),"Románia")</f>
        <v>Románia</v>
      </c>
      <c r="O190" s="14" t="str">
        <f ca="1">IFERROR(__xludf.DUMMYFUNCTION("""COMPUTED_VALUE"""),"Rumania")</f>
        <v>Rumania</v>
      </c>
      <c r="P190" s="14" t="str">
        <f ca="1">IFERROR(__xludf.DUMMYFUNCTION("""COMPUTED_VALUE"""),"Romania")</f>
        <v>Romania</v>
      </c>
      <c r="Q190" s="14" t="str">
        <f ca="1">IFERROR(__xludf.DUMMYFUNCTION("""COMPUTED_VALUE"""),"루마니아")</f>
        <v>루마니아</v>
      </c>
      <c r="R190" s="14" t="str">
        <f ca="1">IFERROR(__xludf.DUMMYFUNCTION("""COMPUTED_VALUE"""),"Rumunia")</f>
        <v>Rumunia</v>
      </c>
      <c r="S190" s="14" t="str">
        <f ca="1">IFERROR(__xludf.DUMMYFUNCTION("""COMPUTED_VALUE"""),"Roménia")</f>
        <v>Roménia</v>
      </c>
      <c r="T190" s="14" t="str">
        <f ca="1">IFERROR(__xludf.DUMMYFUNCTION("""COMPUTED_VALUE"""),"România")</f>
        <v>România</v>
      </c>
      <c r="U190" s="14" t="str">
        <f ca="1">IFERROR(__xludf.DUMMYFUNCTION("""COMPUTED_VALUE"""),"Rumunija")</f>
        <v>Rumunija</v>
      </c>
      <c r="V190" s="14" t="str">
        <f ca="1">IFERROR(__xludf.DUMMYFUNCTION("""COMPUTED_VALUE"""),"Румыния")</f>
        <v>Румыния</v>
      </c>
      <c r="W190" s="14" t="str">
        <f ca="1">IFERROR(__xludf.DUMMYFUNCTION("""COMPUTED_VALUE"""),"Rumänien")</f>
        <v>Rumänien</v>
      </c>
      <c r="X190" s="14" t="str">
        <f ca="1">IFERROR(__xludf.DUMMYFUNCTION("""COMPUTED_VALUE"""),"Romunija")</f>
        <v>Romunija</v>
      </c>
      <c r="Y190" s="14" t="str">
        <f ca="1">IFERROR(__xludf.DUMMYFUNCTION("""COMPUTED_VALUE"""),"Rumunsko")</f>
        <v>Rumunsko</v>
      </c>
      <c r="Z190" s="14" t="str">
        <f ca="1">IFERROR(__xludf.DUMMYFUNCTION("""COMPUTED_VALUE"""),"โรมาเนีย")</f>
        <v>โรมาเนีย</v>
      </c>
      <c r="AA190" s="14" t="str">
        <f ca="1">IFERROR(__xludf.DUMMYFUNCTION("""COMPUTED_VALUE"""),"Romanya")</f>
        <v>Romanya</v>
      </c>
      <c r="AB190" s="14" t="str">
        <f ca="1">IFERROR(__xludf.DUMMYFUNCTION("""COMPUTED_VALUE"""),"ROMANYA")</f>
        <v>ROMANYA</v>
      </c>
      <c r="AC190" s="14" t="str">
        <f ca="1">IFERROR(__xludf.DUMMYFUNCTION("""COMPUTED_VALUE"""),"Румунія")</f>
        <v>Румунія</v>
      </c>
      <c r="AD190" s="14" t="str">
        <f ca="1">IFERROR(__xludf.DUMMYFUNCTION("""COMPUTED_VALUE"""),"România")</f>
        <v>România</v>
      </c>
      <c r="AE190" s="14" t="str">
        <f ca="1">IFERROR(__xludf.DUMMYFUNCTION("""COMPUTED_VALUE"""),"Румыния")</f>
        <v>Румыния</v>
      </c>
      <c r="AF190" s="14"/>
    </row>
    <row r="191" spans="1:32" ht="13" x14ac:dyDescent="0.15">
      <c r="A191" s="14" t="str">
        <f ca="1">IFERROR(__xludf.DUMMYFUNCTION("""COMPUTED_VALUE"""),"RS")</f>
        <v>RS</v>
      </c>
      <c r="B191" s="14" t="str">
        <f ca="1">IFERROR(__xludf.DUMMYFUNCTION("""COMPUTED_VALUE"""),"Serbia")</f>
        <v>Serbia</v>
      </c>
      <c r="C191" s="14" t="str">
        <f ca="1">IFERROR(__xludf.DUMMYFUNCTION("""COMPUTED_VALUE"""),"صربيا")</f>
        <v>صربيا</v>
      </c>
      <c r="D191" s="14" t="str">
        <f ca="1">IFERROR(__xludf.DUMMYFUNCTION("""COMPUTED_VALUE"""),"Сърбия")</f>
        <v>Сърбия</v>
      </c>
      <c r="E191" s="14" t="str">
        <f ca="1">IFERROR(__xludf.DUMMYFUNCTION("""COMPUTED_VALUE"""),"Sérvia")</f>
        <v>Sérvia</v>
      </c>
      <c r="F191" s="14" t="str">
        <f ca="1">IFERROR(__xludf.DUMMYFUNCTION("""COMPUTED_VALUE"""),"Сербія")</f>
        <v>Сербія</v>
      </c>
      <c r="G191" s="14" t="str">
        <f ca="1">IFERROR(__xludf.DUMMYFUNCTION("""COMPUTED_VALUE"""),"Srbsko")</f>
        <v>Srbsko</v>
      </c>
      <c r="H191" s="14" t="str">
        <f ca="1">IFERROR(__xludf.DUMMYFUNCTION("""COMPUTED_VALUE"""),"Serbien")</f>
        <v>Serbien</v>
      </c>
      <c r="I191" s="14" t="str">
        <f ca="1">IFERROR(__xludf.DUMMYFUNCTION("""COMPUTED_VALUE"""),"Serbia")</f>
        <v>Serbia</v>
      </c>
      <c r="J191" s="14" t="str">
        <f ca="1">IFERROR(__xludf.DUMMYFUNCTION("""COMPUTED_VALUE"""),"Serbia")</f>
        <v>Serbia</v>
      </c>
      <c r="K191" s="14" t="str">
        <f ca="1">IFERROR(__xludf.DUMMYFUNCTION("""COMPUTED_VALUE"""),"Σερβία")</f>
        <v>Σερβία</v>
      </c>
      <c r="L191" s="14" t="str">
        <f ca="1">IFERROR(__xludf.DUMMYFUNCTION("""COMPUTED_VALUE"""),"ΣΕΡΒΙΑ")</f>
        <v>ΣΕΡΒΙΑ</v>
      </c>
      <c r="M191" s="14" t="str">
        <f ca="1">IFERROR(__xludf.DUMMYFUNCTION("""COMPUTED_VALUE"""),"Srbija")</f>
        <v>Srbija</v>
      </c>
      <c r="N191" s="14" t="str">
        <f ca="1">IFERROR(__xludf.DUMMYFUNCTION("""COMPUTED_VALUE"""),"Szerbia")</f>
        <v>Szerbia</v>
      </c>
      <c r="O191" s="14" t="str">
        <f ca="1">IFERROR(__xludf.DUMMYFUNCTION("""COMPUTED_VALUE"""),"Serbia")</f>
        <v>Serbia</v>
      </c>
      <c r="P191" s="14" t="str">
        <f ca="1">IFERROR(__xludf.DUMMYFUNCTION("""COMPUTED_VALUE"""),"Serbia")</f>
        <v>Serbia</v>
      </c>
      <c r="Q191" s="14" t="str">
        <f ca="1">IFERROR(__xludf.DUMMYFUNCTION("""COMPUTED_VALUE"""),"세르비아")</f>
        <v>세르비아</v>
      </c>
      <c r="R191" s="14" t="str">
        <f ca="1">IFERROR(__xludf.DUMMYFUNCTION("""COMPUTED_VALUE"""),"Serbia")</f>
        <v>Serbia</v>
      </c>
      <c r="S191" s="14" t="str">
        <f ca="1">IFERROR(__xludf.DUMMYFUNCTION("""COMPUTED_VALUE"""),"Sérvia")</f>
        <v>Sérvia</v>
      </c>
      <c r="T191" s="14" t="str">
        <f ca="1">IFERROR(__xludf.DUMMYFUNCTION("""COMPUTED_VALUE"""),"Serbia")</f>
        <v>Serbia</v>
      </c>
      <c r="U191" s="14" t="str">
        <f ca="1">IFERROR(__xludf.DUMMYFUNCTION("""COMPUTED_VALUE"""),"Srbija")</f>
        <v>Srbija</v>
      </c>
      <c r="V191" s="14" t="str">
        <f ca="1">IFERROR(__xludf.DUMMYFUNCTION("""COMPUTED_VALUE"""),"Сербия")</f>
        <v>Сербия</v>
      </c>
      <c r="W191" s="14" t="str">
        <f ca="1">IFERROR(__xludf.DUMMYFUNCTION("""COMPUTED_VALUE"""),"Serbien")</f>
        <v>Serbien</v>
      </c>
      <c r="X191" s="14" t="str">
        <f ca="1">IFERROR(__xludf.DUMMYFUNCTION("""COMPUTED_VALUE"""),"Srbija")</f>
        <v>Srbija</v>
      </c>
      <c r="Y191" s="14" t="str">
        <f ca="1">IFERROR(__xludf.DUMMYFUNCTION("""COMPUTED_VALUE"""),"Srbsko")</f>
        <v>Srbsko</v>
      </c>
      <c r="Z191" s="14" t="str">
        <f ca="1">IFERROR(__xludf.DUMMYFUNCTION("""COMPUTED_VALUE"""),"เซอร์เบีย")</f>
        <v>เซอร์เบีย</v>
      </c>
      <c r="AA191" s="14" t="str">
        <f ca="1">IFERROR(__xludf.DUMMYFUNCTION("""COMPUTED_VALUE"""),"Sırbistan")</f>
        <v>Sırbistan</v>
      </c>
      <c r="AB191" s="14" t="str">
        <f ca="1">IFERROR(__xludf.DUMMYFUNCTION("""COMPUTED_VALUE"""),"SIRBİSTAN")</f>
        <v>SIRBİSTAN</v>
      </c>
      <c r="AC191" s="14" t="str">
        <f ca="1">IFERROR(__xludf.DUMMYFUNCTION("""COMPUTED_VALUE"""),"Сербія")</f>
        <v>Сербія</v>
      </c>
      <c r="AD191" s="14" t="str">
        <f ca="1">IFERROR(__xludf.DUMMYFUNCTION("""COMPUTED_VALUE"""),"Serbia")</f>
        <v>Serbia</v>
      </c>
      <c r="AE191" s="14" t="str">
        <f ca="1">IFERROR(__xludf.DUMMYFUNCTION("""COMPUTED_VALUE"""),"Сербия")</f>
        <v>Сербия</v>
      </c>
      <c r="AF191" s="14"/>
    </row>
    <row r="192" spans="1:32" ht="13" x14ac:dyDescent="0.15">
      <c r="A192" s="14" t="str">
        <f ca="1">IFERROR(__xludf.DUMMYFUNCTION("""COMPUTED_VALUE"""),"RU")</f>
        <v>RU</v>
      </c>
      <c r="B192" s="14" t="str">
        <f ca="1">IFERROR(__xludf.DUMMYFUNCTION("""COMPUTED_VALUE"""),"Russia")</f>
        <v>Russia</v>
      </c>
      <c r="C192" s="14" t="str">
        <f ca="1">IFERROR(__xludf.DUMMYFUNCTION("""COMPUTED_VALUE"""),"روسيا")</f>
        <v>روسيا</v>
      </c>
      <c r="D192" s="14" t="str">
        <f ca="1">IFERROR(__xludf.DUMMYFUNCTION("""COMPUTED_VALUE"""),"Русия")</f>
        <v>Русия</v>
      </c>
      <c r="E192" s="14" t="str">
        <f ca="1">IFERROR(__xludf.DUMMYFUNCTION("""COMPUTED_VALUE"""),"Rússia")</f>
        <v>Rússia</v>
      </c>
      <c r="F192" s="14" t="str">
        <f ca="1">IFERROR(__xludf.DUMMYFUNCTION("""COMPUTED_VALUE"""),"Расія")</f>
        <v>Расія</v>
      </c>
      <c r="G192" s="14" t="str">
        <f ca="1">IFERROR(__xludf.DUMMYFUNCTION("""COMPUTED_VALUE"""),"Rusko")</f>
        <v>Rusko</v>
      </c>
      <c r="H192" s="14" t="str">
        <f ca="1">IFERROR(__xludf.DUMMYFUNCTION("""COMPUTED_VALUE"""),"Russland")</f>
        <v>Russland</v>
      </c>
      <c r="I192" s="14" t="str">
        <f ca="1">IFERROR(__xludf.DUMMYFUNCTION("""COMPUTED_VALUE"""),"Rusia")</f>
        <v>Rusia</v>
      </c>
      <c r="J192" s="14" t="str">
        <f ca="1">IFERROR(__xludf.DUMMYFUNCTION("""COMPUTED_VALUE"""),"Venäjä")</f>
        <v>Venäjä</v>
      </c>
      <c r="K192" s="14" t="str">
        <f ca="1">IFERROR(__xludf.DUMMYFUNCTION("""COMPUTED_VALUE"""),"Ρωσία")</f>
        <v>Ρωσία</v>
      </c>
      <c r="L192" s="14" t="str">
        <f ca="1">IFERROR(__xludf.DUMMYFUNCTION("""COMPUTED_VALUE"""),"ΡΩΣΙΑ")</f>
        <v>ΡΩΣΙΑ</v>
      </c>
      <c r="M192" s="14" t="str">
        <f ca="1">IFERROR(__xludf.DUMMYFUNCTION("""COMPUTED_VALUE"""),"Rusija")</f>
        <v>Rusija</v>
      </c>
      <c r="N192" s="14" t="str">
        <f ca="1">IFERROR(__xludf.DUMMYFUNCTION("""COMPUTED_VALUE"""),"Oroszország")</f>
        <v>Oroszország</v>
      </c>
      <c r="O192" s="14" t="str">
        <f ca="1">IFERROR(__xludf.DUMMYFUNCTION("""COMPUTED_VALUE"""),"Rusia")</f>
        <v>Rusia</v>
      </c>
      <c r="P192" s="14" t="str">
        <f ca="1">IFERROR(__xludf.DUMMYFUNCTION("""COMPUTED_VALUE"""),"Russia")</f>
        <v>Russia</v>
      </c>
      <c r="Q192" s="14" t="str">
        <f ca="1">IFERROR(__xludf.DUMMYFUNCTION("""COMPUTED_VALUE"""),"러시아")</f>
        <v>러시아</v>
      </c>
      <c r="R192" s="14" t="str">
        <f ca="1">IFERROR(__xludf.DUMMYFUNCTION("""COMPUTED_VALUE"""),"Rosja")</f>
        <v>Rosja</v>
      </c>
      <c r="S192" s="14" t="str">
        <f ca="1">IFERROR(__xludf.DUMMYFUNCTION("""COMPUTED_VALUE"""),"Rússia")</f>
        <v>Rússia</v>
      </c>
      <c r="T192" s="14" t="str">
        <f ca="1">IFERROR(__xludf.DUMMYFUNCTION("""COMPUTED_VALUE"""),"Rusia")</f>
        <v>Rusia</v>
      </c>
      <c r="U192" s="14" t="str">
        <f ca="1">IFERROR(__xludf.DUMMYFUNCTION("""COMPUTED_VALUE"""),"Rusija")</f>
        <v>Rusija</v>
      </c>
      <c r="V192" s="14" t="str">
        <f ca="1">IFERROR(__xludf.DUMMYFUNCTION("""COMPUTED_VALUE"""),"Россия")</f>
        <v>Россия</v>
      </c>
      <c r="W192" s="14" t="str">
        <f ca="1">IFERROR(__xludf.DUMMYFUNCTION("""COMPUTED_VALUE"""),"Ryssland")</f>
        <v>Ryssland</v>
      </c>
      <c r="X192" s="14" t="str">
        <f ca="1">IFERROR(__xludf.DUMMYFUNCTION("""COMPUTED_VALUE"""),"Rusija")</f>
        <v>Rusija</v>
      </c>
      <c r="Y192" s="14" t="str">
        <f ca="1">IFERROR(__xludf.DUMMYFUNCTION("""COMPUTED_VALUE"""),"Rusko")</f>
        <v>Rusko</v>
      </c>
      <c r="Z192" s="14" t="str">
        <f ca="1">IFERROR(__xludf.DUMMYFUNCTION("""COMPUTED_VALUE"""),"รัสเซีย")</f>
        <v>รัสเซีย</v>
      </c>
      <c r="AA192" s="14" t="str">
        <f ca="1">IFERROR(__xludf.DUMMYFUNCTION("""COMPUTED_VALUE"""),"Rusya")</f>
        <v>Rusya</v>
      </c>
      <c r="AB192" s="14" t="str">
        <f ca="1">IFERROR(__xludf.DUMMYFUNCTION("""COMPUTED_VALUE"""),"RUSYA")</f>
        <v>RUSYA</v>
      </c>
      <c r="AC192" s="14" t="str">
        <f ca="1">IFERROR(__xludf.DUMMYFUNCTION("""COMPUTED_VALUE"""),"Росія")</f>
        <v>Росія</v>
      </c>
      <c r="AD192" s="14" t="str">
        <f ca="1">IFERROR(__xludf.DUMMYFUNCTION("""COMPUTED_VALUE"""),"Nga")</f>
        <v>Nga</v>
      </c>
      <c r="AE192" s="14" t="str">
        <f ca="1">IFERROR(__xludf.DUMMYFUNCTION("""COMPUTED_VALUE"""),"Ресей")</f>
        <v>Ресей</v>
      </c>
      <c r="AF192" s="14"/>
    </row>
    <row r="193" spans="1:32" ht="13" x14ac:dyDescent="0.15">
      <c r="A193" s="14" t="str">
        <f ca="1">IFERROR(__xludf.DUMMYFUNCTION("""COMPUTED_VALUE"""),"RW")</f>
        <v>RW</v>
      </c>
      <c r="B193" s="14" t="str">
        <f ca="1">IFERROR(__xludf.DUMMYFUNCTION("""COMPUTED_VALUE"""),"Rwanda")</f>
        <v>Rwanda</v>
      </c>
      <c r="C193" s="14" t="str">
        <f ca="1">IFERROR(__xludf.DUMMYFUNCTION("""COMPUTED_VALUE"""),"رواندا")</f>
        <v>رواندا</v>
      </c>
      <c r="D193" s="14" t="str">
        <f ca="1">IFERROR(__xludf.DUMMYFUNCTION("""COMPUTED_VALUE"""),"Руанда")</f>
        <v>Руанда</v>
      </c>
      <c r="E193" s="14" t="str">
        <f ca="1">IFERROR(__xludf.DUMMYFUNCTION("""COMPUTED_VALUE"""),"Ruanda")</f>
        <v>Ruanda</v>
      </c>
      <c r="F193" s="14" t="str">
        <f ca="1">IFERROR(__xludf.DUMMYFUNCTION("""COMPUTED_VALUE"""),"Руанда")</f>
        <v>Руанда</v>
      </c>
      <c r="G193" s="14" t="str">
        <f ca="1">IFERROR(__xludf.DUMMYFUNCTION("""COMPUTED_VALUE"""),"Rwanda")</f>
        <v>Rwanda</v>
      </c>
      <c r="H193" s="14" t="str">
        <f ca="1">IFERROR(__xludf.DUMMYFUNCTION("""COMPUTED_VALUE"""),"Ruanda")</f>
        <v>Ruanda</v>
      </c>
      <c r="I193" s="14" t="str">
        <f ca="1">IFERROR(__xludf.DUMMYFUNCTION("""COMPUTED_VALUE"""),"Rwanda")</f>
        <v>Rwanda</v>
      </c>
      <c r="J193" s="14" t="str">
        <f ca="1">IFERROR(__xludf.DUMMYFUNCTION("""COMPUTED_VALUE"""),"Ruanda")</f>
        <v>Ruanda</v>
      </c>
      <c r="K193" s="14" t="str">
        <f ca="1">IFERROR(__xludf.DUMMYFUNCTION("""COMPUTED_VALUE"""),"Ρουάντα")</f>
        <v>Ρουάντα</v>
      </c>
      <c r="L193" s="14" t="str">
        <f ca="1">IFERROR(__xludf.DUMMYFUNCTION("""COMPUTED_VALUE"""),"ΡΟΥΑΝΤΑ")</f>
        <v>ΡΟΥΑΝΤΑ</v>
      </c>
      <c r="M193" s="14" t="str">
        <f ca="1">IFERROR(__xludf.DUMMYFUNCTION("""COMPUTED_VALUE"""),"Ruanda")</f>
        <v>Ruanda</v>
      </c>
      <c r="N193" s="14" t="str">
        <f ca="1">IFERROR(__xludf.DUMMYFUNCTION("""COMPUTED_VALUE"""),"Ruanda")</f>
        <v>Ruanda</v>
      </c>
      <c r="O193" s="14" t="str">
        <f ca="1">IFERROR(__xludf.DUMMYFUNCTION("""COMPUTED_VALUE"""),"Rwanda")</f>
        <v>Rwanda</v>
      </c>
      <c r="P193" s="14" t="str">
        <f ca="1">IFERROR(__xludf.DUMMYFUNCTION("""COMPUTED_VALUE"""),"Ruanda")</f>
        <v>Ruanda</v>
      </c>
      <c r="Q193" s="14" t="str">
        <f ca="1">IFERROR(__xludf.DUMMYFUNCTION("""COMPUTED_VALUE"""),"르완다")</f>
        <v>르완다</v>
      </c>
      <c r="R193" s="14" t="str">
        <f ca="1">IFERROR(__xludf.DUMMYFUNCTION("""COMPUTED_VALUE"""),"Rwanda")</f>
        <v>Rwanda</v>
      </c>
      <c r="S193" s="14" t="str">
        <f ca="1">IFERROR(__xludf.DUMMYFUNCTION("""COMPUTED_VALUE"""),"Ruanda")</f>
        <v>Ruanda</v>
      </c>
      <c r="T193" s="14" t="str">
        <f ca="1">IFERROR(__xludf.DUMMYFUNCTION("""COMPUTED_VALUE"""),"Rwanda")</f>
        <v>Rwanda</v>
      </c>
      <c r="U193" s="14" t="str">
        <f ca="1">IFERROR(__xludf.DUMMYFUNCTION("""COMPUTED_VALUE"""),"Ruanda")</f>
        <v>Ruanda</v>
      </c>
      <c r="V193" s="14" t="str">
        <f ca="1">IFERROR(__xludf.DUMMYFUNCTION("""COMPUTED_VALUE"""),"Руанда")</f>
        <v>Руанда</v>
      </c>
      <c r="W193" s="14" t="str">
        <f ca="1">IFERROR(__xludf.DUMMYFUNCTION("""COMPUTED_VALUE"""),"Rwanda")</f>
        <v>Rwanda</v>
      </c>
      <c r="X193" s="14" t="str">
        <f ca="1">IFERROR(__xludf.DUMMYFUNCTION("""COMPUTED_VALUE"""),"Ruanda")</f>
        <v>Ruanda</v>
      </c>
      <c r="Y193" s="14" t="str">
        <f ca="1">IFERROR(__xludf.DUMMYFUNCTION("""COMPUTED_VALUE"""),"Rwanda")</f>
        <v>Rwanda</v>
      </c>
      <c r="Z193" s="14" t="str">
        <f ca="1">IFERROR(__xludf.DUMMYFUNCTION("""COMPUTED_VALUE"""),"รวันดา")</f>
        <v>รวันดา</v>
      </c>
      <c r="AA193" s="14" t="str">
        <f ca="1">IFERROR(__xludf.DUMMYFUNCTION("""COMPUTED_VALUE"""),"Ruanda")</f>
        <v>Ruanda</v>
      </c>
      <c r="AB193" s="14" t="str">
        <f ca="1">IFERROR(__xludf.DUMMYFUNCTION("""COMPUTED_VALUE"""),"RUANDA")</f>
        <v>RUANDA</v>
      </c>
      <c r="AC193" s="14" t="str">
        <f ca="1">IFERROR(__xludf.DUMMYFUNCTION("""COMPUTED_VALUE"""),"Руанда")</f>
        <v>Руанда</v>
      </c>
      <c r="AD193" s="14" t="str">
        <f ca="1">IFERROR(__xludf.DUMMYFUNCTION("""COMPUTED_VALUE"""),"Rwanda")</f>
        <v>Rwanda</v>
      </c>
      <c r="AE193" s="14" t="str">
        <f ca="1">IFERROR(__xludf.DUMMYFUNCTION("""COMPUTED_VALUE"""),"Руанда")</f>
        <v>Руанда</v>
      </c>
      <c r="AF193" s="14"/>
    </row>
    <row r="194" spans="1:32" ht="13" x14ac:dyDescent="0.15">
      <c r="A194" s="14" t="str">
        <f ca="1">IFERROR(__xludf.DUMMYFUNCTION("""COMPUTED_VALUE"""),"SA")</f>
        <v>SA</v>
      </c>
      <c r="B194" s="14" t="str">
        <f ca="1">IFERROR(__xludf.DUMMYFUNCTION("""COMPUTED_VALUE"""),"Saudi Arabia")</f>
        <v>Saudi Arabia</v>
      </c>
      <c r="C194" s="14" t="str">
        <f ca="1">IFERROR(__xludf.DUMMYFUNCTION("""COMPUTED_VALUE"""),"المملكة العربية السعودية")</f>
        <v>المملكة العربية السعودية</v>
      </c>
      <c r="D194" s="14" t="str">
        <f ca="1">IFERROR(__xludf.DUMMYFUNCTION("""COMPUTED_VALUE"""),"Саудитска Арабия")</f>
        <v>Саудитска Арабия</v>
      </c>
      <c r="E194" s="14" t="str">
        <f ca="1">IFERROR(__xludf.DUMMYFUNCTION("""COMPUTED_VALUE"""),"Arábia Saudita")</f>
        <v>Arábia Saudita</v>
      </c>
      <c r="F194" s="14" t="str">
        <f ca="1">IFERROR(__xludf.DUMMYFUNCTION("""COMPUTED_VALUE"""),"Саудаўская Аравія")</f>
        <v>Саудаўская Аравія</v>
      </c>
      <c r="G194" s="14" t="str">
        <f ca="1">IFERROR(__xludf.DUMMYFUNCTION("""COMPUTED_VALUE"""),"Saúdská Arábie")</f>
        <v>Saúdská Arábie</v>
      </c>
      <c r="H194" s="14" t="str">
        <f ca="1">IFERROR(__xludf.DUMMYFUNCTION("""COMPUTED_VALUE"""),"Saudi-Arabien")</f>
        <v>Saudi-Arabien</v>
      </c>
      <c r="I194" s="14" t="str">
        <f ca="1">IFERROR(__xludf.DUMMYFUNCTION("""COMPUTED_VALUE"""),"Arabia Saudita")</f>
        <v>Arabia Saudita</v>
      </c>
      <c r="J194" s="14" t="str">
        <f ca="1">IFERROR(__xludf.DUMMYFUNCTION("""COMPUTED_VALUE"""),"Saudi-Arabia")</f>
        <v>Saudi-Arabia</v>
      </c>
      <c r="K194" s="14" t="str">
        <f ca="1">IFERROR(__xludf.DUMMYFUNCTION("""COMPUTED_VALUE"""),"Σαουδική Αραβία")</f>
        <v>Σαουδική Αραβία</v>
      </c>
      <c r="L194" s="14" t="str">
        <f ca="1">IFERROR(__xludf.DUMMYFUNCTION("""COMPUTED_VALUE"""),"ΣΑΟΥΔΙΚΗ ΑΡΑΒΙΑ")</f>
        <v>ΣΑΟΥΔΙΚΗ ΑΡΑΒΙΑ</v>
      </c>
      <c r="M194" s="14" t="str">
        <f ca="1">IFERROR(__xludf.DUMMYFUNCTION("""COMPUTED_VALUE"""),"Saudijska Arabija")</f>
        <v>Saudijska Arabija</v>
      </c>
      <c r="N194" s="14" t="str">
        <f ca="1">IFERROR(__xludf.DUMMYFUNCTION("""COMPUTED_VALUE"""),"Szaúd-Arábia")</f>
        <v>Szaúd-Arábia</v>
      </c>
      <c r="O194" s="14" t="str">
        <f ca="1">IFERROR(__xludf.DUMMYFUNCTION("""COMPUTED_VALUE"""),"Arab Saudi")</f>
        <v>Arab Saudi</v>
      </c>
      <c r="P194" s="14" t="str">
        <f ca="1">IFERROR(__xludf.DUMMYFUNCTION("""COMPUTED_VALUE"""),"Arabia Saudita")</f>
        <v>Arabia Saudita</v>
      </c>
      <c r="Q194" s="14" t="str">
        <f ca="1">IFERROR(__xludf.DUMMYFUNCTION("""COMPUTED_VALUE"""),"사우디아라비아")</f>
        <v>사우디아라비아</v>
      </c>
      <c r="R194" s="14" t="str">
        <f ca="1">IFERROR(__xludf.DUMMYFUNCTION("""COMPUTED_VALUE"""),"Arabia Saudyjska")</f>
        <v>Arabia Saudyjska</v>
      </c>
      <c r="S194" s="14" t="str">
        <f ca="1">IFERROR(__xludf.DUMMYFUNCTION("""COMPUTED_VALUE"""),"Arábia Saudita")</f>
        <v>Arábia Saudita</v>
      </c>
      <c r="T194" s="14" t="str">
        <f ca="1">IFERROR(__xludf.DUMMYFUNCTION("""COMPUTED_VALUE"""),"Arabia Saudită")</f>
        <v>Arabia Saudită</v>
      </c>
      <c r="U194" s="14" t="str">
        <f ca="1">IFERROR(__xludf.DUMMYFUNCTION("""COMPUTED_VALUE"""),"Saudijska Arabija")</f>
        <v>Saudijska Arabija</v>
      </c>
      <c r="V194" s="14" t="str">
        <f ca="1">IFERROR(__xludf.DUMMYFUNCTION("""COMPUTED_VALUE"""),"Саудовская Аравия")</f>
        <v>Саудовская Аравия</v>
      </c>
      <c r="W194" s="14" t="str">
        <f ca="1">IFERROR(__xludf.DUMMYFUNCTION("""COMPUTED_VALUE"""),"Saudiarabien")</f>
        <v>Saudiarabien</v>
      </c>
      <c r="X194" s="14" t="str">
        <f ca="1">IFERROR(__xludf.DUMMYFUNCTION("""COMPUTED_VALUE"""),"Saudova Arabija")</f>
        <v>Saudova Arabija</v>
      </c>
      <c r="Y194" s="14" t="str">
        <f ca="1">IFERROR(__xludf.DUMMYFUNCTION("""COMPUTED_VALUE"""),"Saudská Arábia")</f>
        <v>Saudská Arábia</v>
      </c>
      <c r="Z194" s="14" t="str">
        <f ca="1">IFERROR(__xludf.DUMMYFUNCTION("""COMPUTED_VALUE"""),"ซาอุดีอาระเบีย")</f>
        <v>ซาอุดีอาระเบีย</v>
      </c>
      <c r="AA194" s="14" t="str">
        <f ca="1">IFERROR(__xludf.DUMMYFUNCTION("""COMPUTED_VALUE"""),"Suudi Arabistan")</f>
        <v>Suudi Arabistan</v>
      </c>
      <c r="AB194" s="14" t="str">
        <f ca="1">IFERROR(__xludf.DUMMYFUNCTION("""COMPUTED_VALUE"""),"SUUDİ ARABİSTAN")</f>
        <v>SUUDİ ARABİSTAN</v>
      </c>
      <c r="AC194" s="14" t="str">
        <f ca="1">IFERROR(__xludf.DUMMYFUNCTION("""COMPUTED_VALUE"""),"Саудівська Аравія")</f>
        <v>Саудівська Аравія</v>
      </c>
      <c r="AD194" s="14" t="str">
        <f ca="1">IFERROR(__xludf.DUMMYFUNCTION("""COMPUTED_VALUE"""),"Ả Rập Xê Út")</f>
        <v>Ả Rập Xê Út</v>
      </c>
      <c r="AE194" s="14" t="str">
        <f ca="1">IFERROR(__xludf.DUMMYFUNCTION("""COMPUTED_VALUE"""),"Сауд Арабиясы")</f>
        <v>Сауд Арабиясы</v>
      </c>
      <c r="AF194" s="14"/>
    </row>
    <row r="195" spans="1:32" ht="13" x14ac:dyDescent="0.15">
      <c r="A195" s="14" t="str">
        <f ca="1">IFERROR(__xludf.DUMMYFUNCTION("""COMPUTED_VALUE"""),"SB")</f>
        <v>SB</v>
      </c>
      <c r="B195" s="14" t="str">
        <f ca="1">IFERROR(__xludf.DUMMYFUNCTION("""COMPUTED_VALUE"""),"Solomon Islands")</f>
        <v>Solomon Islands</v>
      </c>
      <c r="C195" s="14" t="str">
        <f ca="1">IFERROR(__xludf.DUMMYFUNCTION("""COMPUTED_VALUE"""),"جزر سليمان")</f>
        <v>جزر سليمان</v>
      </c>
      <c r="D195" s="14" t="str">
        <f ca="1">IFERROR(__xludf.DUMMYFUNCTION("""COMPUTED_VALUE"""),"Соломонови острови")</f>
        <v>Соломонови острови</v>
      </c>
      <c r="E195" s="14" t="str">
        <f ca="1">IFERROR(__xludf.DUMMYFUNCTION("""COMPUTED_VALUE"""),"Salomão, Ilhas")</f>
        <v>Salomão, Ilhas</v>
      </c>
      <c r="F195" s="14" t="str">
        <f ca="1">IFERROR(__xludf.DUMMYFUNCTION("""COMPUTED_VALUE"""),"Саламонавы Астравы")</f>
        <v>Саламонавы Астравы</v>
      </c>
      <c r="G195" s="14" t="str">
        <f ca="1">IFERROR(__xludf.DUMMYFUNCTION("""COMPUTED_VALUE"""),"Šalamounovy ostrovy")</f>
        <v>Šalamounovy ostrovy</v>
      </c>
      <c r="H195" s="14" t="str">
        <f ca="1">IFERROR(__xludf.DUMMYFUNCTION("""COMPUTED_VALUE"""),"Salomonen")</f>
        <v>Salomonen</v>
      </c>
      <c r="I195" s="14" t="str">
        <f ca="1">IFERROR(__xludf.DUMMYFUNCTION("""COMPUTED_VALUE"""),"Salomón, Islas")</f>
        <v>Salomón, Islas</v>
      </c>
      <c r="J195" s="14" t="str">
        <f ca="1">IFERROR(__xludf.DUMMYFUNCTION("""COMPUTED_VALUE"""),"Salomonsaaret")</f>
        <v>Salomonsaaret</v>
      </c>
      <c r="K195" s="14" t="str">
        <f ca="1">IFERROR(__xludf.DUMMYFUNCTION("""COMPUTED_VALUE"""),"Νήσοι Σολομώντα")</f>
        <v>Νήσοι Σολομώντα</v>
      </c>
      <c r="L195" s="14" t="str">
        <f ca="1">IFERROR(__xludf.DUMMYFUNCTION("""COMPUTED_VALUE"""),"ΝΗΣΟΙ ΣΟΛΟΜΩΝΤΑ")</f>
        <v>ΝΗΣΟΙ ΣΟΛΟΜΩΝΤΑ</v>
      </c>
      <c r="M195" s="14" t="str">
        <f ca="1">IFERROR(__xludf.DUMMYFUNCTION("""COMPUTED_VALUE"""),"Solomonski Otoci")</f>
        <v>Solomonski Otoci</v>
      </c>
      <c r="N195" s="14" t="str">
        <f ca="1">IFERROR(__xludf.DUMMYFUNCTION("""COMPUTED_VALUE"""),"Salamon-szigetek")</f>
        <v>Salamon-szigetek</v>
      </c>
      <c r="O195" s="14" t="str">
        <f ca="1">IFERROR(__xludf.DUMMYFUNCTION("""COMPUTED_VALUE"""),"Solomon, Kepulauan")</f>
        <v>Solomon, Kepulauan</v>
      </c>
      <c r="P195" s="14" t="str">
        <f ca="1">IFERROR(__xludf.DUMMYFUNCTION("""COMPUTED_VALUE"""),"Isole Salomone")</f>
        <v>Isole Salomone</v>
      </c>
      <c r="Q195" s="14" t="str">
        <f ca="1">IFERROR(__xludf.DUMMYFUNCTION("""COMPUTED_VALUE"""),"솔로몬 제도")</f>
        <v>솔로몬 제도</v>
      </c>
      <c r="R195" s="14" t="str">
        <f ca="1">IFERROR(__xludf.DUMMYFUNCTION("""COMPUTED_VALUE"""),"Wyspy Salomona")</f>
        <v>Wyspy Salomona</v>
      </c>
      <c r="S195" s="14" t="str">
        <f ca="1">IFERROR(__xludf.DUMMYFUNCTION("""COMPUTED_VALUE"""),"Salomão, Ilhas")</f>
        <v>Salomão, Ilhas</v>
      </c>
      <c r="T195" s="14" t="str">
        <f ca="1">IFERROR(__xludf.DUMMYFUNCTION("""COMPUTED_VALUE"""),"Insulele Solomon")</f>
        <v>Insulele Solomon</v>
      </c>
      <c r="U195" s="14" t="str">
        <f ca="1">IFERROR(__xludf.DUMMYFUNCTION("""COMPUTED_VALUE"""),"Solomonova Ostrva")</f>
        <v>Solomonova Ostrva</v>
      </c>
      <c r="V195" s="14" t="str">
        <f ca="1">IFERROR(__xludf.DUMMYFUNCTION("""COMPUTED_VALUE"""),"Соломоновы Острова")</f>
        <v>Соломоновы Острова</v>
      </c>
      <c r="W195" s="14" t="str">
        <f ca="1">IFERROR(__xludf.DUMMYFUNCTION("""COMPUTED_VALUE"""),"Salomonöarna")</f>
        <v>Salomonöarna</v>
      </c>
      <c r="X195" s="14" t="str">
        <f ca="1">IFERROR(__xludf.DUMMYFUNCTION("""COMPUTED_VALUE"""),"Salomonovi otoki")</f>
        <v>Salomonovi otoki</v>
      </c>
      <c r="Y195" s="14" t="str">
        <f ca="1">IFERROR(__xludf.DUMMYFUNCTION("""COMPUTED_VALUE"""),"Šalamúnove ostrovy")</f>
        <v>Šalamúnove ostrovy</v>
      </c>
      <c r="Z195" s="14" t="str">
        <f ca="1">IFERROR(__xludf.DUMMYFUNCTION("""COMPUTED_VALUE"""),"หมู่เกาะโซโลมอน")</f>
        <v>หมู่เกาะโซโลมอน</v>
      </c>
      <c r="AA195" s="14" t="str">
        <f ca="1">IFERROR(__xludf.DUMMYFUNCTION("""COMPUTED_VALUE"""),"Solomon Adaları")</f>
        <v>Solomon Adaları</v>
      </c>
      <c r="AB195" s="14" t="str">
        <f ca="1">IFERROR(__xludf.DUMMYFUNCTION("""COMPUTED_VALUE"""),"SOLOMON ADALARI")</f>
        <v>SOLOMON ADALARI</v>
      </c>
      <c r="AC195" s="14" t="str">
        <f ca="1">IFERROR(__xludf.DUMMYFUNCTION("""COMPUTED_VALUE"""),"Соломонові Острови")</f>
        <v>Соломонові Острови</v>
      </c>
      <c r="AD195" s="14" t="str">
        <f ca="1">IFERROR(__xludf.DUMMYFUNCTION("""COMPUTED_VALUE"""),"Quần đảo Solomon")</f>
        <v>Quần đảo Solomon</v>
      </c>
      <c r="AE195" s="14" t="str">
        <f ca="1">IFERROR(__xludf.DUMMYFUNCTION("""COMPUTED_VALUE"""),"Соломон аралдары")</f>
        <v>Соломон аралдары</v>
      </c>
      <c r="AF195" s="14"/>
    </row>
    <row r="196" spans="1:32" ht="13" x14ac:dyDescent="0.15">
      <c r="A196" s="14" t="str">
        <f ca="1">IFERROR(__xludf.DUMMYFUNCTION("""COMPUTED_VALUE"""),"SC")</f>
        <v>SC</v>
      </c>
      <c r="B196" s="14" t="str">
        <f ca="1">IFERROR(__xludf.DUMMYFUNCTION("""COMPUTED_VALUE"""),"Seychelles")</f>
        <v>Seychelles</v>
      </c>
      <c r="C196" s="14" t="str">
        <f ca="1">IFERROR(__xludf.DUMMYFUNCTION("""COMPUTED_VALUE"""),"سيشل")</f>
        <v>سيشل</v>
      </c>
      <c r="D196" s="14" t="str">
        <f ca="1">IFERROR(__xludf.DUMMYFUNCTION("""COMPUTED_VALUE"""),"Сейшелски острови")</f>
        <v>Сейшелски острови</v>
      </c>
      <c r="E196" s="14" t="str">
        <f ca="1">IFERROR(__xludf.DUMMYFUNCTION("""COMPUTED_VALUE"""),"Seychelles")</f>
        <v>Seychelles</v>
      </c>
      <c r="F196" s="14" t="str">
        <f ca="1">IFERROR(__xludf.DUMMYFUNCTION("""COMPUTED_VALUE"""),"Сейшэльскія Астравы")</f>
        <v>Сейшэльскія Астравы</v>
      </c>
      <c r="G196" s="14" t="str">
        <f ca="1">IFERROR(__xludf.DUMMYFUNCTION("""COMPUTED_VALUE"""),"Seychely")</f>
        <v>Seychely</v>
      </c>
      <c r="H196" s="14" t="str">
        <f ca="1">IFERROR(__xludf.DUMMYFUNCTION("""COMPUTED_VALUE"""),"Seychellen")</f>
        <v>Seychellen</v>
      </c>
      <c r="I196" s="14" t="str">
        <f ca="1">IFERROR(__xludf.DUMMYFUNCTION("""COMPUTED_VALUE"""),"Seychelles")</f>
        <v>Seychelles</v>
      </c>
      <c r="J196" s="14" t="str">
        <f ca="1">IFERROR(__xludf.DUMMYFUNCTION("""COMPUTED_VALUE"""),"Seychellit")</f>
        <v>Seychellit</v>
      </c>
      <c r="K196" s="14" t="str">
        <f ca="1">IFERROR(__xludf.DUMMYFUNCTION("""COMPUTED_VALUE"""),"Σεϋχέλλες")</f>
        <v>Σεϋχέλλες</v>
      </c>
      <c r="L196" s="14" t="str">
        <f ca="1">IFERROR(__xludf.DUMMYFUNCTION("""COMPUTED_VALUE"""),"ΣΕΫΧΕΛΛΕΣ")</f>
        <v>ΣΕΫΧΕΛΛΕΣ</v>
      </c>
      <c r="M196" s="14" t="str">
        <f ca="1">IFERROR(__xludf.DUMMYFUNCTION("""COMPUTED_VALUE"""),"Sejšeli")</f>
        <v>Sejšeli</v>
      </c>
      <c r="N196" s="14" t="str">
        <f ca="1">IFERROR(__xludf.DUMMYFUNCTION("""COMPUTED_VALUE"""),"Seychelle-szigetek")</f>
        <v>Seychelle-szigetek</v>
      </c>
      <c r="O196" s="14" t="str">
        <f ca="1">IFERROR(__xludf.DUMMYFUNCTION("""COMPUTED_VALUE"""),"Seychelles")</f>
        <v>Seychelles</v>
      </c>
      <c r="P196" s="14" t="str">
        <f ca="1">IFERROR(__xludf.DUMMYFUNCTION("""COMPUTED_VALUE"""),"Seychelles")</f>
        <v>Seychelles</v>
      </c>
      <c r="Q196" s="14" t="str">
        <f ca="1">IFERROR(__xludf.DUMMYFUNCTION("""COMPUTED_VALUE"""),"세이셸")</f>
        <v>세이셸</v>
      </c>
      <c r="R196" s="14" t="str">
        <f ca="1">IFERROR(__xludf.DUMMYFUNCTION("""COMPUTED_VALUE"""),"Seszele")</f>
        <v>Seszele</v>
      </c>
      <c r="S196" s="14" t="str">
        <f ca="1">IFERROR(__xludf.DUMMYFUNCTION("""COMPUTED_VALUE"""),"Seychelles")</f>
        <v>Seychelles</v>
      </c>
      <c r="T196" s="14" t="str">
        <f ca="1">IFERROR(__xludf.DUMMYFUNCTION("""COMPUTED_VALUE"""),"Seychelles")</f>
        <v>Seychelles</v>
      </c>
      <c r="U196" s="14" t="str">
        <f ca="1">IFERROR(__xludf.DUMMYFUNCTION("""COMPUTED_VALUE"""),"Sejšeli")</f>
        <v>Sejšeli</v>
      </c>
      <c r="V196" s="14" t="str">
        <f ca="1">IFERROR(__xludf.DUMMYFUNCTION("""COMPUTED_VALUE"""),"Сейшельские Острова")</f>
        <v>Сейшельские Острова</v>
      </c>
      <c r="W196" s="14" t="str">
        <f ca="1">IFERROR(__xludf.DUMMYFUNCTION("""COMPUTED_VALUE"""),"Seychellerna")</f>
        <v>Seychellerna</v>
      </c>
      <c r="X196" s="14" t="str">
        <f ca="1">IFERROR(__xludf.DUMMYFUNCTION("""COMPUTED_VALUE"""),"Sejšeli")</f>
        <v>Sejšeli</v>
      </c>
      <c r="Y196" s="14" t="str">
        <f ca="1">IFERROR(__xludf.DUMMYFUNCTION("""COMPUTED_VALUE"""),"Seychely")</f>
        <v>Seychely</v>
      </c>
      <c r="Z196" s="14" t="str">
        <f ca="1">IFERROR(__xludf.DUMMYFUNCTION("""COMPUTED_VALUE"""),"เซเชลส์")</f>
        <v>เซเชลส์</v>
      </c>
      <c r="AA196" s="14" t="str">
        <f ca="1">IFERROR(__xludf.DUMMYFUNCTION("""COMPUTED_VALUE"""),"Seyşeller")</f>
        <v>Seyşeller</v>
      </c>
      <c r="AB196" s="14" t="str">
        <f ca="1">IFERROR(__xludf.DUMMYFUNCTION("""COMPUTED_VALUE"""),"SEYŞELLER")</f>
        <v>SEYŞELLER</v>
      </c>
      <c r="AC196" s="14" t="str">
        <f ca="1">IFERROR(__xludf.DUMMYFUNCTION("""COMPUTED_VALUE"""),"Сейшельські Острови")</f>
        <v>Сейшельські Острови</v>
      </c>
      <c r="AD196" s="14" t="str">
        <f ca="1">IFERROR(__xludf.DUMMYFUNCTION("""COMPUTED_VALUE"""),"Seychelles")</f>
        <v>Seychelles</v>
      </c>
      <c r="AE196" s="14" t="str">
        <f ca="1">IFERROR(__xludf.DUMMYFUNCTION("""COMPUTED_VALUE"""),"Сейшель аралдары")</f>
        <v>Сейшель аралдары</v>
      </c>
      <c r="AF196" s="14"/>
    </row>
    <row r="197" spans="1:32" ht="13" x14ac:dyDescent="0.15">
      <c r="A197" s="14" t="str">
        <f ca="1">IFERROR(__xludf.DUMMYFUNCTION("""COMPUTED_VALUE"""),"SD")</f>
        <v>SD</v>
      </c>
      <c r="B197" s="14" t="str">
        <f ca="1">IFERROR(__xludf.DUMMYFUNCTION("""COMPUTED_VALUE"""),"Sudan")</f>
        <v>Sudan</v>
      </c>
      <c r="C197" s="14" t="str">
        <f ca="1">IFERROR(__xludf.DUMMYFUNCTION("""COMPUTED_VALUE"""),"السودان")</f>
        <v>السودان</v>
      </c>
      <c r="D197" s="14" t="str">
        <f ca="1">IFERROR(__xludf.DUMMYFUNCTION("""COMPUTED_VALUE"""),"Судан")</f>
        <v>Судан</v>
      </c>
      <c r="E197" s="14" t="str">
        <f ca="1">IFERROR(__xludf.DUMMYFUNCTION("""COMPUTED_VALUE"""),"Sudão")</f>
        <v>Sudão</v>
      </c>
      <c r="F197" s="14" t="str">
        <f ca="1">IFERROR(__xludf.DUMMYFUNCTION("""COMPUTED_VALUE"""),"Судан")</f>
        <v>Судан</v>
      </c>
      <c r="G197" s="14" t="str">
        <f ca="1">IFERROR(__xludf.DUMMYFUNCTION("""COMPUTED_VALUE"""),"Súdán")</f>
        <v>Súdán</v>
      </c>
      <c r="H197" s="14" t="str">
        <f ca="1">IFERROR(__xludf.DUMMYFUNCTION("""COMPUTED_VALUE"""),"Sudan")</f>
        <v>Sudan</v>
      </c>
      <c r="I197" s="14" t="str">
        <f ca="1">IFERROR(__xludf.DUMMYFUNCTION("""COMPUTED_VALUE"""),"Sudán (el)")</f>
        <v>Sudán (el)</v>
      </c>
      <c r="J197" s="14" t="str">
        <f ca="1">IFERROR(__xludf.DUMMYFUNCTION("""COMPUTED_VALUE"""),"Sudan")</f>
        <v>Sudan</v>
      </c>
      <c r="K197" s="14" t="str">
        <f ca="1">IFERROR(__xludf.DUMMYFUNCTION("""COMPUTED_VALUE"""),"Σουδάν")</f>
        <v>Σουδάν</v>
      </c>
      <c r="L197" s="14" t="str">
        <f ca="1">IFERROR(__xludf.DUMMYFUNCTION("""COMPUTED_VALUE"""),"ΣΟΥΔΑΝ")</f>
        <v>ΣΟΥΔΑΝ</v>
      </c>
      <c r="M197" s="14" t="str">
        <f ca="1">IFERROR(__xludf.DUMMYFUNCTION("""COMPUTED_VALUE"""),"Sudan")</f>
        <v>Sudan</v>
      </c>
      <c r="N197" s="14" t="str">
        <f ca="1">IFERROR(__xludf.DUMMYFUNCTION("""COMPUTED_VALUE"""),"Szudán")</f>
        <v>Szudán</v>
      </c>
      <c r="O197" s="14" t="str">
        <f ca="1">IFERROR(__xludf.DUMMYFUNCTION("""COMPUTED_VALUE"""),"Sudan")</f>
        <v>Sudan</v>
      </c>
      <c r="P197" s="14" t="str">
        <f ca="1">IFERROR(__xludf.DUMMYFUNCTION("""COMPUTED_VALUE"""),"Sudan")</f>
        <v>Sudan</v>
      </c>
      <c r="Q197" s="14" t="str">
        <f ca="1">IFERROR(__xludf.DUMMYFUNCTION("""COMPUTED_VALUE"""),"수단")</f>
        <v>수단</v>
      </c>
      <c r="R197" s="14" t="str">
        <f ca="1">IFERROR(__xludf.DUMMYFUNCTION("""COMPUTED_VALUE"""),"Sudan")</f>
        <v>Sudan</v>
      </c>
      <c r="S197" s="14" t="str">
        <f ca="1">IFERROR(__xludf.DUMMYFUNCTION("""COMPUTED_VALUE"""),"Sudão")</f>
        <v>Sudão</v>
      </c>
      <c r="T197" s="14" t="str">
        <f ca="1">IFERROR(__xludf.DUMMYFUNCTION("""COMPUTED_VALUE"""),"Sudan")</f>
        <v>Sudan</v>
      </c>
      <c r="U197" s="14" t="str">
        <f ca="1">IFERROR(__xludf.DUMMYFUNCTION("""COMPUTED_VALUE"""),"Sudan")</f>
        <v>Sudan</v>
      </c>
      <c r="V197" s="14" t="str">
        <f ca="1">IFERROR(__xludf.DUMMYFUNCTION("""COMPUTED_VALUE"""),"Судан")</f>
        <v>Судан</v>
      </c>
      <c r="W197" s="14" t="str">
        <f ca="1">IFERROR(__xludf.DUMMYFUNCTION("""COMPUTED_VALUE"""),"Sudan")</f>
        <v>Sudan</v>
      </c>
      <c r="X197" s="14" t="str">
        <f ca="1">IFERROR(__xludf.DUMMYFUNCTION("""COMPUTED_VALUE"""),"Sudan")</f>
        <v>Sudan</v>
      </c>
      <c r="Y197" s="14" t="str">
        <f ca="1">IFERROR(__xludf.DUMMYFUNCTION("""COMPUTED_VALUE"""),"Sudán")</f>
        <v>Sudán</v>
      </c>
      <c r="Z197" s="14" t="str">
        <f ca="1">IFERROR(__xludf.DUMMYFUNCTION("""COMPUTED_VALUE"""),"ซูดาน")</f>
        <v>ซูดาน</v>
      </c>
      <c r="AA197" s="14" t="str">
        <f ca="1">IFERROR(__xludf.DUMMYFUNCTION("""COMPUTED_VALUE"""),"Sudan")</f>
        <v>Sudan</v>
      </c>
      <c r="AB197" s="14" t="str">
        <f ca="1">IFERROR(__xludf.DUMMYFUNCTION("""COMPUTED_VALUE"""),"SUDAN")</f>
        <v>SUDAN</v>
      </c>
      <c r="AC197" s="14" t="str">
        <f ca="1">IFERROR(__xludf.DUMMYFUNCTION("""COMPUTED_VALUE"""),"Судан")</f>
        <v>Судан</v>
      </c>
      <c r="AD197" s="14" t="str">
        <f ca="1">IFERROR(__xludf.DUMMYFUNCTION("""COMPUTED_VALUE"""),"Sudan")</f>
        <v>Sudan</v>
      </c>
      <c r="AE197" s="14" t="str">
        <f ca="1">IFERROR(__xludf.DUMMYFUNCTION("""COMPUTED_VALUE"""),"Судан")</f>
        <v>Судан</v>
      </c>
      <c r="AF197" s="14"/>
    </row>
    <row r="198" spans="1:32" ht="13" x14ac:dyDescent="0.15">
      <c r="A198" s="14" t="str">
        <f ca="1">IFERROR(__xludf.DUMMYFUNCTION("""COMPUTED_VALUE"""),"SE")</f>
        <v>SE</v>
      </c>
      <c r="B198" s="14" t="str">
        <f ca="1">IFERROR(__xludf.DUMMYFUNCTION("""COMPUTED_VALUE"""),"Sweden")</f>
        <v>Sweden</v>
      </c>
      <c r="C198" s="14" t="str">
        <f ca="1">IFERROR(__xludf.DUMMYFUNCTION("""COMPUTED_VALUE"""),"السويد")</f>
        <v>السويد</v>
      </c>
      <c r="D198" s="14" t="str">
        <f ca="1">IFERROR(__xludf.DUMMYFUNCTION("""COMPUTED_VALUE"""),"Швеция")</f>
        <v>Швеция</v>
      </c>
      <c r="E198" s="14" t="str">
        <f ca="1">IFERROR(__xludf.DUMMYFUNCTION("""COMPUTED_VALUE"""),"Suécia")</f>
        <v>Suécia</v>
      </c>
      <c r="F198" s="14" t="str">
        <f ca="1">IFERROR(__xludf.DUMMYFUNCTION("""COMPUTED_VALUE"""),"Швецыя")</f>
        <v>Швецыя</v>
      </c>
      <c r="G198" s="14" t="str">
        <f ca="1">IFERROR(__xludf.DUMMYFUNCTION("""COMPUTED_VALUE"""),"Švédsko")</f>
        <v>Švédsko</v>
      </c>
      <c r="H198" s="14" t="str">
        <f ca="1">IFERROR(__xludf.DUMMYFUNCTION("""COMPUTED_VALUE"""),"Schweden")</f>
        <v>Schweden</v>
      </c>
      <c r="I198" s="14" t="str">
        <f ca="1">IFERROR(__xludf.DUMMYFUNCTION("""COMPUTED_VALUE"""),"Suecia")</f>
        <v>Suecia</v>
      </c>
      <c r="J198" s="14" t="str">
        <f ca="1">IFERROR(__xludf.DUMMYFUNCTION("""COMPUTED_VALUE"""),"Ruotsi")</f>
        <v>Ruotsi</v>
      </c>
      <c r="K198" s="14" t="str">
        <f ca="1">IFERROR(__xludf.DUMMYFUNCTION("""COMPUTED_VALUE"""),"Σουηδία")</f>
        <v>Σουηδία</v>
      </c>
      <c r="L198" s="14" t="str">
        <f ca="1">IFERROR(__xludf.DUMMYFUNCTION("""COMPUTED_VALUE"""),"ΣΟΥΗΔΙΑ")</f>
        <v>ΣΟΥΗΔΙΑ</v>
      </c>
      <c r="M198" s="14" t="str">
        <f ca="1">IFERROR(__xludf.DUMMYFUNCTION("""COMPUTED_VALUE"""),"Švedska")</f>
        <v>Švedska</v>
      </c>
      <c r="N198" s="14" t="str">
        <f ca="1">IFERROR(__xludf.DUMMYFUNCTION("""COMPUTED_VALUE"""),"Svédország")</f>
        <v>Svédország</v>
      </c>
      <c r="O198" s="14" t="str">
        <f ca="1">IFERROR(__xludf.DUMMYFUNCTION("""COMPUTED_VALUE"""),"Swedia")</f>
        <v>Swedia</v>
      </c>
      <c r="P198" s="14" t="str">
        <f ca="1">IFERROR(__xludf.DUMMYFUNCTION("""COMPUTED_VALUE"""),"Svezia")</f>
        <v>Svezia</v>
      </c>
      <c r="Q198" s="14" t="str">
        <f ca="1">IFERROR(__xludf.DUMMYFUNCTION("""COMPUTED_VALUE"""),"스웨덴")</f>
        <v>스웨덴</v>
      </c>
      <c r="R198" s="14" t="str">
        <f ca="1">IFERROR(__xludf.DUMMYFUNCTION("""COMPUTED_VALUE"""),"Szwecja")</f>
        <v>Szwecja</v>
      </c>
      <c r="S198" s="14" t="str">
        <f ca="1">IFERROR(__xludf.DUMMYFUNCTION("""COMPUTED_VALUE"""),"Suécia")</f>
        <v>Suécia</v>
      </c>
      <c r="T198" s="14" t="str">
        <f ca="1">IFERROR(__xludf.DUMMYFUNCTION("""COMPUTED_VALUE"""),"Suedia")</f>
        <v>Suedia</v>
      </c>
      <c r="U198" s="14" t="str">
        <f ca="1">IFERROR(__xludf.DUMMYFUNCTION("""COMPUTED_VALUE"""),"Švedska")</f>
        <v>Švedska</v>
      </c>
      <c r="V198" s="14" t="str">
        <f ca="1">IFERROR(__xludf.DUMMYFUNCTION("""COMPUTED_VALUE"""),"Швеция")</f>
        <v>Швеция</v>
      </c>
      <c r="W198" s="14" t="str">
        <f ca="1">IFERROR(__xludf.DUMMYFUNCTION("""COMPUTED_VALUE"""),"Sverige")</f>
        <v>Sverige</v>
      </c>
      <c r="X198" s="14" t="str">
        <f ca="1">IFERROR(__xludf.DUMMYFUNCTION("""COMPUTED_VALUE"""),"Švedska")</f>
        <v>Švedska</v>
      </c>
      <c r="Y198" s="14" t="str">
        <f ca="1">IFERROR(__xludf.DUMMYFUNCTION("""COMPUTED_VALUE"""),"Švédsko")</f>
        <v>Švédsko</v>
      </c>
      <c r="Z198" s="14" t="str">
        <f ca="1">IFERROR(__xludf.DUMMYFUNCTION("""COMPUTED_VALUE"""),"สวีเดน")</f>
        <v>สวีเดน</v>
      </c>
      <c r="AA198" s="14" t="str">
        <f ca="1">IFERROR(__xludf.DUMMYFUNCTION("""COMPUTED_VALUE"""),"İsveç")</f>
        <v>İsveç</v>
      </c>
      <c r="AB198" s="14" t="str">
        <f ca="1">IFERROR(__xludf.DUMMYFUNCTION("""COMPUTED_VALUE"""),"İSVEÇ")</f>
        <v>İSVEÇ</v>
      </c>
      <c r="AC198" s="14" t="str">
        <f ca="1">IFERROR(__xludf.DUMMYFUNCTION("""COMPUTED_VALUE"""),"Швеція")</f>
        <v>Швеція</v>
      </c>
      <c r="AD198" s="14" t="str">
        <f ca="1">IFERROR(__xludf.DUMMYFUNCTION("""COMPUTED_VALUE"""),"Thụy Điển")</f>
        <v>Thụy Điển</v>
      </c>
      <c r="AE198" s="14" t="str">
        <f ca="1">IFERROR(__xludf.DUMMYFUNCTION("""COMPUTED_VALUE"""),"Швеция")</f>
        <v>Швеция</v>
      </c>
      <c r="AF198" s="14"/>
    </row>
    <row r="199" spans="1:32" ht="13" x14ac:dyDescent="0.15">
      <c r="A199" s="14" t="str">
        <f ca="1">IFERROR(__xludf.DUMMYFUNCTION("""COMPUTED_VALUE"""),"SG")</f>
        <v>SG</v>
      </c>
      <c r="B199" s="14" t="str">
        <f ca="1">IFERROR(__xludf.DUMMYFUNCTION("""COMPUTED_VALUE"""),"Singapore")</f>
        <v>Singapore</v>
      </c>
      <c r="C199" s="14" t="str">
        <f ca="1">IFERROR(__xludf.DUMMYFUNCTION("""COMPUTED_VALUE"""),"سنغافورة")</f>
        <v>سنغافورة</v>
      </c>
      <c r="D199" s="14" t="str">
        <f ca="1">IFERROR(__xludf.DUMMYFUNCTION("""COMPUTED_VALUE"""),"Сингапур")</f>
        <v>Сингапур</v>
      </c>
      <c r="E199" s="14" t="str">
        <f ca="1">IFERROR(__xludf.DUMMYFUNCTION("""COMPUTED_VALUE"""),"Singapura")</f>
        <v>Singapura</v>
      </c>
      <c r="F199" s="14" t="str">
        <f ca="1">IFERROR(__xludf.DUMMYFUNCTION("""COMPUTED_VALUE"""),"Сінгапур")</f>
        <v>Сінгапур</v>
      </c>
      <c r="G199" s="14" t="str">
        <f ca="1">IFERROR(__xludf.DUMMYFUNCTION("""COMPUTED_VALUE"""),"Singapur")</f>
        <v>Singapur</v>
      </c>
      <c r="H199" s="14" t="str">
        <f ca="1">IFERROR(__xludf.DUMMYFUNCTION("""COMPUTED_VALUE"""),"Singapur")</f>
        <v>Singapur</v>
      </c>
      <c r="I199" s="14" t="str">
        <f ca="1">IFERROR(__xludf.DUMMYFUNCTION("""COMPUTED_VALUE"""),"Singapur")</f>
        <v>Singapur</v>
      </c>
      <c r="J199" s="14" t="str">
        <f ca="1">IFERROR(__xludf.DUMMYFUNCTION("""COMPUTED_VALUE"""),"Singapore")</f>
        <v>Singapore</v>
      </c>
      <c r="K199" s="14" t="str">
        <f ca="1">IFERROR(__xludf.DUMMYFUNCTION("""COMPUTED_VALUE"""),"Σιγκαπούρη")</f>
        <v>Σιγκαπούρη</v>
      </c>
      <c r="L199" s="14" t="str">
        <f ca="1">IFERROR(__xludf.DUMMYFUNCTION("""COMPUTED_VALUE"""),"ΣΙΓΚΑΠΟΥΡΗ")</f>
        <v>ΣΙΓΚΑΠΟΥΡΗ</v>
      </c>
      <c r="M199" s="14" t="str">
        <f ca="1">IFERROR(__xludf.DUMMYFUNCTION("""COMPUTED_VALUE"""),"Singapur")</f>
        <v>Singapur</v>
      </c>
      <c r="N199" s="14" t="str">
        <f ca="1">IFERROR(__xludf.DUMMYFUNCTION("""COMPUTED_VALUE"""),"Szingapúr")</f>
        <v>Szingapúr</v>
      </c>
      <c r="O199" s="14" t="str">
        <f ca="1">IFERROR(__xludf.DUMMYFUNCTION("""COMPUTED_VALUE"""),"Singapura")</f>
        <v>Singapura</v>
      </c>
      <c r="P199" s="14" t="str">
        <f ca="1">IFERROR(__xludf.DUMMYFUNCTION("""COMPUTED_VALUE"""),"Singapore")</f>
        <v>Singapore</v>
      </c>
      <c r="Q199" s="14" t="str">
        <f ca="1">IFERROR(__xludf.DUMMYFUNCTION("""COMPUTED_VALUE"""),"싱가포르")</f>
        <v>싱가포르</v>
      </c>
      <c r="R199" s="14" t="str">
        <f ca="1">IFERROR(__xludf.DUMMYFUNCTION("""COMPUTED_VALUE"""),"Singapur")</f>
        <v>Singapur</v>
      </c>
      <c r="S199" s="14" t="str">
        <f ca="1">IFERROR(__xludf.DUMMYFUNCTION("""COMPUTED_VALUE"""),"Singapura")</f>
        <v>Singapura</v>
      </c>
      <c r="T199" s="14" t="str">
        <f ca="1">IFERROR(__xludf.DUMMYFUNCTION("""COMPUTED_VALUE"""),"Singapore")</f>
        <v>Singapore</v>
      </c>
      <c r="U199" s="14" t="str">
        <f ca="1">IFERROR(__xludf.DUMMYFUNCTION("""COMPUTED_VALUE"""),"Singapur")</f>
        <v>Singapur</v>
      </c>
      <c r="V199" s="14" t="str">
        <f ca="1">IFERROR(__xludf.DUMMYFUNCTION("""COMPUTED_VALUE"""),"Сингапур")</f>
        <v>Сингапур</v>
      </c>
      <c r="W199" s="14" t="str">
        <f ca="1">IFERROR(__xludf.DUMMYFUNCTION("""COMPUTED_VALUE"""),"Singapore")</f>
        <v>Singapore</v>
      </c>
      <c r="X199" s="14" t="str">
        <f ca="1">IFERROR(__xludf.DUMMYFUNCTION("""COMPUTED_VALUE"""),"Singapur")</f>
        <v>Singapur</v>
      </c>
      <c r="Y199" s="14" t="str">
        <f ca="1">IFERROR(__xludf.DUMMYFUNCTION("""COMPUTED_VALUE"""),"Singapur")</f>
        <v>Singapur</v>
      </c>
      <c r="Z199" s="14" t="str">
        <f ca="1">IFERROR(__xludf.DUMMYFUNCTION("""COMPUTED_VALUE"""),"สิงคโปร์")</f>
        <v>สิงคโปร์</v>
      </c>
      <c r="AA199" s="14" t="str">
        <f ca="1">IFERROR(__xludf.DUMMYFUNCTION("""COMPUTED_VALUE"""),"Singapur")</f>
        <v>Singapur</v>
      </c>
      <c r="AB199" s="14" t="str">
        <f ca="1">IFERROR(__xludf.DUMMYFUNCTION("""COMPUTED_VALUE"""),"SİNGAPUR")</f>
        <v>SİNGAPUR</v>
      </c>
      <c r="AC199" s="14" t="str">
        <f ca="1">IFERROR(__xludf.DUMMYFUNCTION("""COMPUTED_VALUE"""),"Сінгапур")</f>
        <v>Сінгапур</v>
      </c>
      <c r="AD199" s="14" t="str">
        <f ca="1">IFERROR(__xludf.DUMMYFUNCTION("""COMPUTED_VALUE"""),"Singapore")</f>
        <v>Singapore</v>
      </c>
      <c r="AE199" s="14" t="str">
        <f ca="1">IFERROR(__xludf.DUMMYFUNCTION("""COMPUTED_VALUE"""),"Сингапур")</f>
        <v>Сингапур</v>
      </c>
      <c r="AF199" s="14"/>
    </row>
    <row r="200" spans="1:32" ht="13" x14ac:dyDescent="0.15">
      <c r="A200" s="14" t="str">
        <f ca="1">IFERROR(__xludf.DUMMYFUNCTION("""COMPUTED_VALUE"""),"SH")</f>
        <v>SH</v>
      </c>
      <c r="B200" s="14" t="str">
        <f ca="1">IFERROR(__xludf.DUMMYFUNCTION("""COMPUTED_VALUE"""),"Saint Helena, Ascension and Tristan da Cunha")</f>
        <v>Saint Helena, Ascension and Tristan da Cunha</v>
      </c>
      <c r="C200" s="14" t="str">
        <f ca="1">IFERROR(__xludf.DUMMYFUNCTION("""COMPUTED_VALUE"""),"سانت هيلنا")</f>
        <v>سانت هيلنا</v>
      </c>
      <c r="D200" s="14" t="str">
        <f ca="1">IFERROR(__xludf.DUMMYFUNCTION("""COMPUTED_VALUE"""),"Света Елена, Възнесение и Тристан да Куня")</f>
        <v>Света Елена, Възнесение и Тристан да Куня</v>
      </c>
      <c r="E200" s="14" t="str">
        <f ca="1">IFERROR(__xludf.DUMMYFUNCTION("""COMPUTED_VALUE"""),"Santa Helena")</f>
        <v>Santa Helena</v>
      </c>
      <c r="F200" s="14" t="str">
        <f ca="1">IFERROR(__xludf.DUMMYFUNCTION("""COMPUTED_VALUE"""),"Астравы Святой Алены, Узнясення і Трыстан-да-Кунья")</f>
        <v>Астравы Святой Алены, Узнясення і Трыстан-да-Кунья</v>
      </c>
      <c r="G200" s="14" t="str">
        <f ca="1">IFERROR(__xludf.DUMMYFUNCTION("""COMPUTED_VALUE"""),"Svatá Helena, Ascension a Tristan da Cunha")</f>
        <v>Svatá Helena, Ascension a Tristan da Cunha</v>
      </c>
      <c r="H200" s="14" t="str">
        <f ca="1">IFERROR(__xludf.DUMMYFUNCTION("""COMPUTED_VALUE"""),"St. Helena")</f>
        <v>St. Helena</v>
      </c>
      <c r="I200" s="14" t="str">
        <f ca="1">IFERROR(__xludf.DUMMYFUNCTION("""COMPUTED_VALUE"""),"Santa Helena, Ascensión y Tristán de Acuña")</f>
        <v>Santa Helena, Ascensión y Tristán de Acuña</v>
      </c>
      <c r="J200" s="14" t="str">
        <f ca="1">IFERROR(__xludf.DUMMYFUNCTION("""COMPUTED_VALUE"""),"Saint Helena")</f>
        <v>Saint Helena</v>
      </c>
      <c r="K200" s="14" t="str">
        <f ca="1">IFERROR(__xludf.DUMMYFUNCTION("""COMPUTED_VALUE"""),"Νήσος Αγίας Ελένης")</f>
        <v>Νήσος Αγίας Ελένης</v>
      </c>
      <c r="L200" s="14" t="str">
        <f ca="1">IFERROR(__xludf.DUMMYFUNCTION("""COMPUTED_VALUE"""),"ΝΗΣΟΣ ΑΓΙΑΣ ΕΛΕΝΗΣ")</f>
        <v>ΝΗΣΟΣ ΑΓΙΑΣ ΕΛΕΝΗΣ</v>
      </c>
      <c r="M200" s="14" t="str">
        <f ca="1">IFERROR(__xludf.DUMMYFUNCTION("""COMPUTED_VALUE"""),"Sveta Helena")</f>
        <v>Sveta Helena</v>
      </c>
      <c r="N200" s="14" t="str">
        <f ca="1">IFERROR(__xludf.DUMMYFUNCTION("""COMPUTED_VALUE"""),"Szent Ilona")</f>
        <v>Szent Ilona</v>
      </c>
      <c r="O200" s="14" t="str">
        <f ca="1">IFERROR(__xludf.DUMMYFUNCTION("""COMPUTED_VALUE"""),"Saint Helena, Ascension, dan Tristan da Cunha")</f>
        <v>Saint Helena, Ascension, dan Tristan da Cunha</v>
      </c>
      <c r="P200" s="14" t="str">
        <f ca="1">IFERROR(__xludf.DUMMYFUNCTION("""COMPUTED_VALUE"""),"Sant’Elena, Ascensione e Tristan da Cunha")</f>
        <v>Sant’Elena, Ascensione e Tristan da Cunha</v>
      </c>
      <c r="Q200" s="14" t="str">
        <f ca="1">IFERROR(__xludf.DUMMYFUNCTION("""COMPUTED_VALUE"""),"세인트헬레나")</f>
        <v>세인트헬레나</v>
      </c>
      <c r="R200" s="14" t="str">
        <f ca="1">IFERROR(__xludf.DUMMYFUNCTION("""COMPUTED_VALUE"""),"Wyspa Świętej Heleny, Wyspa Wniebowstąpienia i Tristan da Cunha")</f>
        <v>Wyspa Świętej Heleny, Wyspa Wniebowstąpienia i Tristan da Cunha</v>
      </c>
      <c r="S200" s="14" t="str">
        <f ca="1">IFERROR(__xludf.DUMMYFUNCTION("""COMPUTED_VALUE"""),"Santa Helena")</f>
        <v>Santa Helena</v>
      </c>
      <c r="T200" s="14" t="str">
        <f ca="1">IFERROR(__xludf.DUMMYFUNCTION("""COMPUTED_VALUE"""),"Sfânta Elena")</f>
        <v>Sfânta Elena</v>
      </c>
      <c r="U200" s="14" t="str">
        <f ca="1">IFERROR(__xludf.DUMMYFUNCTION("""COMPUTED_VALUE"""),"Sveta Jelena")</f>
        <v>Sveta Jelena</v>
      </c>
      <c r="V200" s="14" t="str">
        <f ca="1">IFERROR(__xludf.DUMMYFUNCTION("""COMPUTED_VALUE"""),"Острова Святой Елены, Вознесения и Тристан-да-Кунья")</f>
        <v>Острова Святой Елены, Вознесения и Тристан-да-Кунья</v>
      </c>
      <c r="W200" s="14" t="str">
        <f ca="1">IFERROR(__xludf.DUMMYFUNCTION("""COMPUTED_VALUE"""),"Sankta Helena")</f>
        <v>Sankta Helena</v>
      </c>
      <c r="X200" s="14" t="str">
        <f ca="1">IFERROR(__xludf.DUMMYFUNCTION("""COMPUTED_VALUE"""),"Sveta Helena")</f>
        <v>Sveta Helena</v>
      </c>
      <c r="Y200" s="14" t="str">
        <f ca="1">IFERROR(__xludf.DUMMYFUNCTION("""COMPUTED_VALUE"""),"Svätá Helena")</f>
        <v>Svätá Helena</v>
      </c>
      <c r="Z200" s="14" t="str">
        <f ca="1">IFERROR(__xludf.DUMMYFUNCTION("""COMPUTED_VALUE"""),"เซนต์เฮเลนา")</f>
        <v>เซนต์เฮเลนา</v>
      </c>
      <c r="AA200" s="14" t="str">
        <f ca="1">IFERROR(__xludf.DUMMYFUNCTION("""COMPUTED_VALUE"""),"Saint Helena")</f>
        <v>Saint Helena</v>
      </c>
      <c r="AB200" s="14" t="str">
        <f ca="1">IFERROR(__xludf.DUMMYFUNCTION("""COMPUTED_VALUE"""),"SAİNT HELENA")</f>
        <v>SAİNT HELENA</v>
      </c>
      <c r="AC200" s="14" t="str">
        <f ca="1">IFERROR(__xludf.DUMMYFUNCTION("""COMPUTED_VALUE"""),"Острови Святої Єлени, Вознесіння і Тристан-да-Кунья")</f>
        <v>Острови Святої Єлени, Вознесіння і Тристан-да-Кунья</v>
      </c>
      <c r="AD200" s="14" t="str">
        <f ca="1">IFERROR(__xludf.DUMMYFUNCTION("""COMPUTED_VALUE"""),"Saint Helena")</f>
        <v>Saint Helena</v>
      </c>
      <c r="AE200" s="14" t="str">
        <f ca="1">IFERROR(__xludf.DUMMYFUNCTION("""COMPUTED_VALUE"""),"Әулие Елена, Эсеншн және Тристан-да-Кунья аралдары")</f>
        <v>Әулие Елена, Эсеншн және Тристан-да-Кунья аралдары</v>
      </c>
      <c r="AF200" s="14"/>
    </row>
    <row r="201" spans="1:32" ht="13" x14ac:dyDescent="0.15">
      <c r="A201" s="14" t="str">
        <f ca="1">IFERROR(__xludf.DUMMYFUNCTION("""COMPUTED_VALUE"""),"SI")</f>
        <v>SI</v>
      </c>
      <c r="B201" s="14" t="str">
        <f ca="1">IFERROR(__xludf.DUMMYFUNCTION("""COMPUTED_VALUE"""),"Slovenia")</f>
        <v>Slovenia</v>
      </c>
      <c r="C201" s="14" t="str">
        <f ca="1">IFERROR(__xludf.DUMMYFUNCTION("""COMPUTED_VALUE"""),"سلوفينيا")</f>
        <v>سلوفينيا</v>
      </c>
      <c r="D201" s="14" t="str">
        <f ca="1">IFERROR(__xludf.DUMMYFUNCTION("""COMPUTED_VALUE"""),"Словения")</f>
        <v>Словения</v>
      </c>
      <c r="E201" s="14" t="str">
        <f ca="1">IFERROR(__xludf.DUMMYFUNCTION("""COMPUTED_VALUE"""),"Eslovênia")</f>
        <v>Eslovênia</v>
      </c>
      <c r="F201" s="14" t="str">
        <f ca="1">IFERROR(__xludf.DUMMYFUNCTION("""COMPUTED_VALUE"""),"Славенія")</f>
        <v>Славенія</v>
      </c>
      <c r="G201" s="14" t="str">
        <f ca="1">IFERROR(__xludf.DUMMYFUNCTION("""COMPUTED_VALUE"""),"Slovinsko")</f>
        <v>Slovinsko</v>
      </c>
      <c r="H201" s="14" t="str">
        <f ca="1">IFERROR(__xludf.DUMMYFUNCTION("""COMPUTED_VALUE"""),"Slowenien")</f>
        <v>Slowenien</v>
      </c>
      <c r="I201" s="14" t="str">
        <f ca="1">IFERROR(__xludf.DUMMYFUNCTION("""COMPUTED_VALUE"""),"Eslovenia")</f>
        <v>Eslovenia</v>
      </c>
      <c r="J201" s="14" t="str">
        <f ca="1">IFERROR(__xludf.DUMMYFUNCTION("""COMPUTED_VALUE"""),"Slovenia")</f>
        <v>Slovenia</v>
      </c>
      <c r="K201" s="14" t="str">
        <f ca="1">IFERROR(__xludf.DUMMYFUNCTION("""COMPUTED_VALUE"""),"Σλοβενία")</f>
        <v>Σλοβενία</v>
      </c>
      <c r="L201" s="14" t="str">
        <f ca="1">IFERROR(__xludf.DUMMYFUNCTION("""COMPUTED_VALUE"""),"ΣΛΟΒΕΝΙΑ")</f>
        <v>ΣΛΟΒΕΝΙΑ</v>
      </c>
      <c r="M201" s="14" t="str">
        <f ca="1">IFERROR(__xludf.DUMMYFUNCTION("""COMPUTED_VALUE"""),"Slovenija")</f>
        <v>Slovenija</v>
      </c>
      <c r="N201" s="14" t="str">
        <f ca="1">IFERROR(__xludf.DUMMYFUNCTION("""COMPUTED_VALUE"""),"Szlovénia")</f>
        <v>Szlovénia</v>
      </c>
      <c r="O201" s="14" t="str">
        <f ca="1">IFERROR(__xludf.DUMMYFUNCTION("""COMPUTED_VALUE"""),"Slovenia")</f>
        <v>Slovenia</v>
      </c>
      <c r="P201" s="14" t="str">
        <f ca="1">IFERROR(__xludf.DUMMYFUNCTION("""COMPUTED_VALUE"""),"Slovenia")</f>
        <v>Slovenia</v>
      </c>
      <c r="Q201" s="14" t="str">
        <f ca="1">IFERROR(__xludf.DUMMYFUNCTION("""COMPUTED_VALUE"""),"슬로베니아")</f>
        <v>슬로베니아</v>
      </c>
      <c r="R201" s="14" t="str">
        <f ca="1">IFERROR(__xludf.DUMMYFUNCTION("""COMPUTED_VALUE"""),"Słowenia")</f>
        <v>Słowenia</v>
      </c>
      <c r="S201" s="14" t="str">
        <f ca="1">IFERROR(__xludf.DUMMYFUNCTION("""COMPUTED_VALUE"""),"Eslovénia")</f>
        <v>Eslovénia</v>
      </c>
      <c r="T201" s="14" t="str">
        <f ca="1">IFERROR(__xludf.DUMMYFUNCTION("""COMPUTED_VALUE"""),"Slovenia")</f>
        <v>Slovenia</v>
      </c>
      <c r="U201" s="14" t="str">
        <f ca="1">IFERROR(__xludf.DUMMYFUNCTION("""COMPUTED_VALUE"""),"Slovenija")</f>
        <v>Slovenija</v>
      </c>
      <c r="V201" s="14" t="str">
        <f ca="1">IFERROR(__xludf.DUMMYFUNCTION("""COMPUTED_VALUE"""),"Словения")</f>
        <v>Словения</v>
      </c>
      <c r="W201" s="14" t="str">
        <f ca="1">IFERROR(__xludf.DUMMYFUNCTION("""COMPUTED_VALUE"""),"Slovenien")</f>
        <v>Slovenien</v>
      </c>
      <c r="X201" s="14" t="str">
        <f ca="1">IFERROR(__xludf.DUMMYFUNCTION("""COMPUTED_VALUE"""),"Slovenija")</f>
        <v>Slovenija</v>
      </c>
      <c r="Y201" s="14" t="str">
        <f ca="1">IFERROR(__xludf.DUMMYFUNCTION("""COMPUTED_VALUE"""),"Slovinsko")</f>
        <v>Slovinsko</v>
      </c>
      <c r="Z201" s="14" t="str">
        <f ca="1">IFERROR(__xludf.DUMMYFUNCTION("""COMPUTED_VALUE"""),"สโลวีเนีย")</f>
        <v>สโลวีเนีย</v>
      </c>
      <c r="AA201" s="14" t="str">
        <f ca="1">IFERROR(__xludf.DUMMYFUNCTION("""COMPUTED_VALUE"""),"Slovenya")</f>
        <v>Slovenya</v>
      </c>
      <c r="AB201" s="14" t="str">
        <f ca="1">IFERROR(__xludf.DUMMYFUNCTION("""COMPUTED_VALUE"""),"SLOVENYA")</f>
        <v>SLOVENYA</v>
      </c>
      <c r="AC201" s="14" t="str">
        <f ca="1">IFERROR(__xludf.DUMMYFUNCTION("""COMPUTED_VALUE"""),"Словенія")</f>
        <v>Словенія</v>
      </c>
      <c r="AD201" s="14" t="str">
        <f ca="1">IFERROR(__xludf.DUMMYFUNCTION("""COMPUTED_VALUE"""),"Slovenia")</f>
        <v>Slovenia</v>
      </c>
      <c r="AE201" s="14" t="str">
        <f ca="1">IFERROR(__xludf.DUMMYFUNCTION("""COMPUTED_VALUE"""),"Словения")</f>
        <v>Словения</v>
      </c>
      <c r="AF201" s="14"/>
    </row>
    <row r="202" spans="1:32" ht="13" x14ac:dyDescent="0.15">
      <c r="A202" s="14" t="str">
        <f ca="1">IFERROR(__xludf.DUMMYFUNCTION("""COMPUTED_VALUE"""),"SJ")</f>
        <v>SJ</v>
      </c>
      <c r="B202" s="14" t="str">
        <f ca="1">IFERROR(__xludf.DUMMYFUNCTION("""COMPUTED_VALUE"""),"Svalbard and Jan Mayen")</f>
        <v>Svalbard and Jan Mayen</v>
      </c>
      <c r="C202" s="14" t="str">
        <f ca="1">IFERROR(__xludf.DUMMYFUNCTION("""COMPUTED_VALUE"""),"سفالبارد وجان مايان")</f>
        <v>سفالبارد وجان مايان</v>
      </c>
      <c r="D202" s="14" t="str">
        <f ca="1">IFERROR(__xludf.DUMMYFUNCTION("""COMPUTED_VALUE"""),"Свалбард и Ян Майен")</f>
        <v>Свалбард и Ян Майен</v>
      </c>
      <c r="E202" s="14" t="str">
        <f ca="1">IFERROR(__xludf.DUMMYFUNCTION("""COMPUTED_VALUE"""),"Svalbard e Jan Mayen")</f>
        <v>Svalbard e Jan Mayen</v>
      </c>
      <c r="F202" s="14" t="str">
        <f ca="1">IFERROR(__xludf.DUMMYFUNCTION("""COMPUTED_VALUE"""),"Шпіцберген і Ян-Маен")</f>
        <v>Шпіцберген і Ян-Маен</v>
      </c>
      <c r="G202" s="14" t="str">
        <f ca="1">IFERROR(__xludf.DUMMYFUNCTION("""COMPUTED_VALUE"""),"Špicberky a Jan Mayen")</f>
        <v>Špicberky a Jan Mayen</v>
      </c>
      <c r="H202" s="14" t="str">
        <f ca="1">IFERROR(__xludf.DUMMYFUNCTION("""COMPUTED_VALUE"""),"Svalbard und Jan Mayen")</f>
        <v>Svalbard und Jan Mayen</v>
      </c>
      <c r="I202" s="14" t="str">
        <f ca="1">IFERROR(__xludf.DUMMYFUNCTION("""COMPUTED_VALUE"""),"Svalbard y Jan Mayen")</f>
        <v>Svalbard y Jan Mayen</v>
      </c>
      <c r="J202" s="14" t="str">
        <f ca="1">IFERROR(__xludf.DUMMYFUNCTION("""COMPUTED_VALUE"""),"Svalbard ja Jan Mayen")</f>
        <v>Svalbard ja Jan Mayen</v>
      </c>
      <c r="K202" s="14" t="str">
        <f ca="1">IFERROR(__xludf.DUMMYFUNCTION("""COMPUTED_VALUE"""),"Σβάλμπαρντ")</f>
        <v>Σβάλμπαρντ</v>
      </c>
      <c r="L202" s="14" t="str">
        <f ca="1">IFERROR(__xludf.DUMMYFUNCTION("""COMPUTED_VALUE"""),"ΣΒΑΛΜΠΑΡΝΤ")</f>
        <v>ΣΒΑΛΜΠΑΡΝΤ</v>
      </c>
      <c r="M202" s="14" t="str">
        <f ca="1">IFERROR(__xludf.DUMMYFUNCTION("""COMPUTED_VALUE"""),"Svalbard i Jan Mayen")</f>
        <v>Svalbard i Jan Mayen</v>
      </c>
      <c r="N202" s="14" t="str">
        <f ca="1">IFERROR(__xludf.DUMMYFUNCTION("""COMPUTED_VALUE"""),"Spitzbergák és Jan Mayen-sziget")</f>
        <v>Spitzbergák és Jan Mayen-sziget</v>
      </c>
      <c r="O202" s="14" t="str">
        <f ca="1">IFERROR(__xludf.DUMMYFUNCTION("""COMPUTED_VALUE"""),"Svalbard dan Jan Mayen")</f>
        <v>Svalbard dan Jan Mayen</v>
      </c>
      <c r="P202" s="14" t="str">
        <f ca="1">IFERROR(__xludf.DUMMYFUNCTION("""COMPUTED_VALUE"""),"Svalbard e Jan Mayen")</f>
        <v>Svalbard e Jan Mayen</v>
      </c>
      <c r="Q202" s="14" t="str">
        <f ca="1">IFERROR(__xludf.DUMMYFUNCTION("""COMPUTED_VALUE"""),"스발바르 얀마옌")</f>
        <v>스발바르 얀마옌</v>
      </c>
      <c r="R202" s="14" t="str">
        <f ca="1">IFERROR(__xludf.DUMMYFUNCTION("""COMPUTED_VALUE"""),"Svalbard i Jan Mayen")</f>
        <v>Svalbard i Jan Mayen</v>
      </c>
      <c r="S202" s="14" t="str">
        <f ca="1">IFERROR(__xludf.DUMMYFUNCTION("""COMPUTED_VALUE"""),"Svalbard e Jan Mayen")</f>
        <v>Svalbard e Jan Mayen</v>
      </c>
      <c r="T202" s="14" t="str">
        <f ca="1">IFERROR(__xludf.DUMMYFUNCTION("""COMPUTED_VALUE"""),"Svalbard și Jan Mayen")</f>
        <v>Svalbard și Jan Mayen</v>
      </c>
      <c r="U202" s="14" t="str">
        <f ca="1">IFERROR(__xludf.DUMMYFUNCTION("""COMPUTED_VALUE"""),"Svalbard i Jan Majen")</f>
        <v>Svalbard i Jan Majen</v>
      </c>
      <c r="V202" s="14" t="str">
        <f ca="1">IFERROR(__xludf.DUMMYFUNCTION("""COMPUTED_VALUE"""),"Шпицберген и Ян-Майен")</f>
        <v>Шпицберген и Ян-Майен</v>
      </c>
      <c r="W202" s="14" t="str">
        <f ca="1">IFERROR(__xludf.DUMMYFUNCTION("""COMPUTED_VALUE"""),"Svalbard och Jan Mayen")</f>
        <v>Svalbard och Jan Mayen</v>
      </c>
      <c r="X202" s="14" t="str">
        <f ca="1">IFERROR(__xludf.DUMMYFUNCTION("""COMPUTED_VALUE"""),"Svalbard in Jan Mayen")</f>
        <v>Svalbard in Jan Mayen</v>
      </c>
      <c r="Y202" s="14" t="str">
        <f ca="1">IFERROR(__xludf.DUMMYFUNCTION("""COMPUTED_VALUE"""),"Špicbergy a Jan Mayen")</f>
        <v>Špicbergy a Jan Mayen</v>
      </c>
      <c r="Z202" s="14" t="str">
        <f ca="1">IFERROR(__xludf.DUMMYFUNCTION("""COMPUTED_VALUE"""),"แม่แบบ:Country data Svalbard and Jan Mayen")</f>
        <v>แม่แบบ:Country data Svalbard and Jan Mayen</v>
      </c>
      <c r="AA202" s="14" t="str">
        <f ca="1">IFERROR(__xludf.DUMMYFUNCTION("""COMPUTED_VALUE"""),"Svalbard ve Jan Mayen")</f>
        <v>Svalbard ve Jan Mayen</v>
      </c>
      <c r="AB202" s="14" t="str">
        <f ca="1">IFERROR(__xludf.DUMMYFUNCTION("""COMPUTED_VALUE"""),"SVALBARD VE JAN MAYEN")</f>
        <v>SVALBARD VE JAN MAYEN</v>
      </c>
      <c r="AC202" s="14" t="str">
        <f ca="1">IFERROR(__xludf.DUMMYFUNCTION("""COMPUTED_VALUE"""),"Свальбард і Ян-Маєн")</f>
        <v>Свальбард і Ян-Маєн</v>
      </c>
      <c r="AD202" s="14" t="str">
        <f ca="1">IFERROR(__xludf.DUMMYFUNCTION("""COMPUTED_VALUE"""),"Svalbard (Svalbard và đảo Jan Mayen)")</f>
        <v>Svalbard (Svalbard và đảo Jan Mayen)</v>
      </c>
      <c r="AE202" s="14" t="str">
        <f ca="1">IFERROR(__xludf.DUMMYFUNCTION("""COMPUTED_VALUE"""),"Шпицберген және Ян-Майен")</f>
        <v>Шпицберген және Ян-Майен</v>
      </c>
      <c r="AF202" s="14"/>
    </row>
    <row r="203" spans="1:32" ht="13" x14ac:dyDescent="0.15">
      <c r="A203" s="14" t="str">
        <f ca="1">IFERROR(__xludf.DUMMYFUNCTION("""COMPUTED_VALUE"""),"SK")</f>
        <v>SK</v>
      </c>
      <c r="B203" s="14" t="str">
        <f ca="1">IFERROR(__xludf.DUMMYFUNCTION("""COMPUTED_VALUE"""),"Slovakia")</f>
        <v>Slovakia</v>
      </c>
      <c r="C203" s="14" t="str">
        <f ca="1">IFERROR(__xludf.DUMMYFUNCTION("""COMPUTED_VALUE"""),"سلوفاكيا")</f>
        <v>سلوفاكيا</v>
      </c>
      <c r="D203" s="14" t="str">
        <f ca="1">IFERROR(__xludf.DUMMYFUNCTION("""COMPUTED_VALUE"""),"Словакия")</f>
        <v>Словакия</v>
      </c>
      <c r="E203" s="14" t="str">
        <f ca="1">IFERROR(__xludf.DUMMYFUNCTION("""COMPUTED_VALUE"""),"Eslováquia")</f>
        <v>Eslováquia</v>
      </c>
      <c r="F203" s="14" t="str">
        <f ca="1">IFERROR(__xludf.DUMMYFUNCTION("""COMPUTED_VALUE"""),"Славакія")</f>
        <v>Славакія</v>
      </c>
      <c r="G203" s="14" t="str">
        <f ca="1">IFERROR(__xludf.DUMMYFUNCTION("""COMPUTED_VALUE"""),"Slovensko")</f>
        <v>Slovensko</v>
      </c>
      <c r="H203" s="14" t="str">
        <f ca="1">IFERROR(__xludf.DUMMYFUNCTION("""COMPUTED_VALUE"""),"Slowakei")</f>
        <v>Slowakei</v>
      </c>
      <c r="I203" s="14" t="str">
        <f ca="1">IFERROR(__xludf.DUMMYFUNCTION("""COMPUTED_VALUE"""),"Eslovaquia")</f>
        <v>Eslovaquia</v>
      </c>
      <c r="J203" s="14" t="str">
        <f ca="1">IFERROR(__xludf.DUMMYFUNCTION("""COMPUTED_VALUE"""),"Slovakia")</f>
        <v>Slovakia</v>
      </c>
      <c r="K203" s="14" t="str">
        <f ca="1">IFERROR(__xludf.DUMMYFUNCTION("""COMPUTED_VALUE"""),"Σλοβακία")</f>
        <v>Σλοβακία</v>
      </c>
      <c r="L203" s="14" t="str">
        <f ca="1">IFERROR(__xludf.DUMMYFUNCTION("""COMPUTED_VALUE"""),"ΣΛΟΒΑΚΙΑ")</f>
        <v>ΣΛΟΒΑΚΙΑ</v>
      </c>
      <c r="M203" s="14" t="str">
        <f ca="1">IFERROR(__xludf.DUMMYFUNCTION("""COMPUTED_VALUE"""),"Slovačka")</f>
        <v>Slovačka</v>
      </c>
      <c r="N203" s="14" t="str">
        <f ca="1">IFERROR(__xludf.DUMMYFUNCTION("""COMPUTED_VALUE"""),"Szlovákia")</f>
        <v>Szlovákia</v>
      </c>
      <c r="O203" s="14" t="str">
        <f ca="1">IFERROR(__xludf.DUMMYFUNCTION("""COMPUTED_VALUE"""),"Slowakia")</f>
        <v>Slowakia</v>
      </c>
      <c r="P203" s="14" t="str">
        <f ca="1">IFERROR(__xludf.DUMMYFUNCTION("""COMPUTED_VALUE"""),"Slovacchia")</f>
        <v>Slovacchia</v>
      </c>
      <c r="Q203" s="14" t="str">
        <f ca="1">IFERROR(__xludf.DUMMYFUNCTION("""COMPUTED_VALUE"""),"슬로바키아")</f>
        <v>슬로바키아</v>
      </c>
      <c r="R203" s="14" t="str">
        <f ca="1">IFERROR(__xludf.DUMMYFUNCTION("""COMPUTED_VALUE"""),"Słowacja")</f>
        <v>Słowacja</v>
      </c>
      <c r="S203" s="14" t="str">
        <f ca="1">IFERROR(__xludf.DUMMYFUNCTION("""COMPUTED_VALUE"""),"Eslováquia")</f>
        <v>Eslováquia</v>
      </c>
      <c r="T203" s="14" t="str">
        <f ca="1">IFERROR(__xludf.DUMMYFUNCTION("""COMPUTED_VALUE"""),"Slovacia")</f>
        <v>Slovacia</v>
      </c>
      <c r="U203" s="14" t="str">
        <f ca="1">IFERROR(__xludf.DUMMYFUNCTION("""COMPUTED_VALUE"""),"Slovačka")</f>
        <v>Slovačka</v>
      </c>
      <c r="V203" s="14" t="str">
        <f ca="1">IFERROR(__xludf.DUMMYFUNCTION("""COMPUTED_VALUE"""),"Словакия")</f>
        <v>Словакия</v>
      </c>
      <c r="W203" s="14" t="str">
        <f ca="1">IFERROR(__xludf.DUMMYFUNCTION("""COMPUTED_VALUE"""),"Slovakien")</f>
        <v>Slovakien</v>
      </c>
      <c r="X203" s="14" t="str">
        <f ca="1">IFERROR(__xludf.DUMMYFUNCTION("""COMPUTED_VALUE"""),"Slovaška")</f>
        <v>Slovaška</v>
      </c>
      <c r="Y203" s="14" t="str">
        <f ca="1">IFERROR(__xludf.DUMMYFUNCTION("""COMPUTED_VALUE"""),"Slovensko")</f>
        <v>Slovensko</v>
      </c>
      <c r="Z203" s="14" t="str">
        <f ca="1">IFERROR(__xludf.DUMMYFUNCTION("""COMPUTED_VALUE"""),"สโลวาเกีย")</f>
        <v>สโลวาเกีย</v>
      </c>
      <c r="AA203" s="14" t="str">
        <f ca="1">IFERROR(__xludf.DUMMYFUNCTION("""COMPUTED_VALUE"""),"Slovakya")</f>
        <v>Slovakya</v>
      </c>
      <c r="AB203" s="14" t="str">
        <f ca="1">IFERROR(__xludf.DUMMYFUNCTION("""COMPUTED_VALUE"""),"SLOVAKYA")</f>
        <v>SLOVAKYA</v>
      </c>
      <c r="AC203" s="14" t="str">
        <f ca="1">IFERROR(__xludf.DUMMYFUNCTION("""COMPUTED_VALUE"""),"Словаччина")</f>
        <v>Словаччина</v>
      </c>
      <c r="AD203" s="14" t="str">
        <f ca="1">IFERROR(__xludf.DUMMYFUNCTION("""COMPUTED_VALUE"""),"Slovakia")</f>
        <v>Slovakia</v>
      </c>
      <c r="AE203" s="14" t="str">
        <f ca="1">IFERROR(__xludf.DUMMYFUNCTION("""COMPUTED_VALUE"""),"Словакия")</f>
        <v>Словакия</v>
      </c>
      <c r="AF203" s="14"/>
    </row>
    <row r="204" spans="1:32" ht="13" x14ac:dyDescent="0.15">
      <c r="A204" s="14" t="str">
        <f ca="1">IFERROR(__xludf.DUMMYFUNCTION("""COMPUTED_VALUE"""),"SL")</f>
        <v>SL</v>
      </c>
      <c r="B204" s="14" t="str">
        <f ca="1">IFERROR(__xludf.DUMMYFUNCTION("""COMPUTED_VALUE"""),"Sierra Leone")</f>
        <v>Sierra Leone</v>
      </c>
      <c r="C204" s="14" t="str">
        <f ca="1">IFERROR(__xludf.DUMMYFUNCTION("""COMPUTED_VALUE"""),"سيراليون")</f>
        <v>سيراليون</v>
      </c>
      <c r="D204" s="14" t="str">
        <f ca="1">IFERROR(__xludf.DUMMYFUNCTION("""COMPUTED_VALUE"""),"Сиера Леоне")</f>
        <v>Сиера Леоне</v>
      </c>
      <c r="E204" s="14" t="str">
        <f ca="1">IFERROR(__xludf.DUMMYFUNCTION("""COMPUTED_VALUE"""),"Serra Leoa")</f>
        <v>Serra Leoa</v>
      </c>
      <c r="F204" s="14" t="str">
        <f ca="1">IFERROR(__xludf.DUMMYFUNCTION("""COMPUTED_VALUE"""),"Сьера-Леонэ")</f>
        <v>Сьера-Леонэ</v>
      </c>
      <c r="G204" s="14" t="str">
        <f ca="1">IFERROR(__xludf.DUMMYFUNCTION("""COMPUTED_VALUE"""),"Sierra Leone")</f>
        <v>Sierra Leone</v>
      </c>
      <c r="H204" s="14" t="str">
        <f ca="1">IFERROR(__xludf.DUMMYFUNCTION("""COMPUTED_VALUE"""),"Sierra Leone")</f>
        <v>Sierra Leone</v>
      </c>
      <c r="I204" s="14" t="str">
        <f ca="1">IFERROR(__xludf.DUMMYFUNCTION("""COMPUTED_VALUE"""),"Sierra leona")</f>
        <v>Sierra leona</v>
      </c>
      <c r="J204" s="14" t="str">
        <f ca="1">IFERROR(__xludf.DUMMYFUNCTION("""COMPUTED_VALUE"""),"Sierra Leone")</f>
        <v>Sierra Leone</v>
      </c>
      <c r="K204" s="14" t="str">
        <f ca="1">IFERROR(__xludf.DUMMYFUNCTION("""COMPUTED_VALUE"""),"Σιέρα Λεόνε")</f>
        <v>Σιέρα Λεόνε</v>
      </c>
      <c r="L204" s="14" t="str">
        <f ca="1">IFERROR(__xludf.DUMMYFUNCTION("""COMPUTED_VALUE"""),"ΣΙΕΡΑ ΛΕΟΝΕ")</f>
        <v>ΣΙΕΡΑ ΛΕΟΝΕ</v>
      </c>
      <c r="M204" s="14" t="str">
        <f ca="1">IFERROR(__xludf.DUMMYFUNCTION("""COMPUTED_VALUE"""),"Sijera Leone")</f>
        <v>Sijera Leone</v>
      </c>
      <c r="N204" s="14" t="str">
        <f ca="1">IFERROR(__xludf.DUMMYFUNCTION("""COMPUTED_VALUE"""),"Sierra Leone")</f>
        <v>Sierra Leone</v>
      </c>
      <c r="O204" s="14" t="str">
        <f ca="1">IFERROR(__xludf.DUMMYFUNCTION("""COMPUTED_VALUE"""),"Sierra Leone")</f>
        <v>Sierra Leone</v>
      </c>
      <c r="P204" s="14" t="str">
        <f ca="1">IFERROR(__xludf.DUMMYFUNCTION("""COMPUTED_VALUE"""),"Sierra Leone")</f>
        <v>Sierra Leone</v>
      </c>
      <c r="Q204" s="14" t="str">
        <f ca="1">IFERROR(__xludf.DUMMYFUNCTION("""COMPUTED_VALUE"""),"시에라리온")</f>
        <v>시에라리온</v>
      </c>
      <c r="R204" s="14" t="str">
        <f ca="1">IFERROR(__xludf.DUMMYFUNCTION("""COMPUTED_VALUE"""),"Sierra Leone")</f>
        <v>Sierra Leone</v>
      </c>
      <c r="S204" s="14" t="str">
        <f ca="1">IFERROR(__xludf.DUMMYFUNCTION("""COMPUTED_VALUE"""),"Serra Leoa")</f>
        <v>Serra Leoa</v>
      </c>
      <c r="T204" s="14" t="str">
        <f ca="1">IFERROR(__xludf.DUMMYFUNCTION("""COMPUTED_VALUE"""),"Sierra Leone")</f>
        <v>Sierra Leone</v>
      </c>
      <c r="U204" s="14" t="str">
        <f ca="1">IFERROR(__xludf.DUMMYFUNCTION("""COMPUTED_VALUE"""),"Sijera Leone")</f>
        <v>Sijera Leone</v>
      </c>
      <c r="V204" s="14" t="str">
        <f ca="1">IFERROR(__xludf.DUMMYFUNCTION("""COMPUTED_VALUE"""),"Сьерра-Леоне")</f>
        <v>Сьерра-Леоне</v>
      </c>
      <c r="W204" s="14" t="str">
        <f ca="1">IFERROR(__xludf.DUMMYFUNCTION("""COMPUTED_VALUE"""),"Sierra Leone")</f>
        <v>Sierra Leone</v>
      </c>
      <c r="X204" s="14" t="str">
        <f ca="1">IFERROR(__xludf.DUMMYFUNCTION("""COMPUTED_VALUE"""),"Sierra Leone")</f>
        <v>Sierra Leone</v>
      </c>
      <c r="Y204" s="14" t="str">
        <f ca="1">IFERROR(__xludf.DUMMYFUNCTION("""COMPUTED_VALUE"""),"Sierra Leone")</f>
        <v>Sierra Leone</v>
      </c>
      <c r="Z204" s="14" t="str">
        <f ca="1">IFERROR(__xludf.DUMMYFUNCTION("""COMPUTED_VALUE"""),"เซียร์ราลีโอน")</f>
        <v>เซียร์ราลีโอน</v>
      </c>
      <c r="AA204" s="14" t="str">
        <f ca="1">IFERROR(__xludf.DUMMYFUNCTION("""COMPUTED_VALUE"""),"Sierra Leone")</f>
        <v>Sierra Leone</v>
      </c>
      <c r="AB204" s="14" t="str">
        <f ca="1">IFERROR(__xludf.DUMMYFUNCTION("""COMPUTED_VALUE"""),"SİERRA LEONE")</f>
        <v>SİERRA LEONE</v>
      </c>
      <c r="AC204" s="14" t="str">
        <f ca="1">IFERROR(__xludf.DUMMYFUNCTION("""COMPUTED_VALUE"""),"Сьєрра-Леоне")</f>
        <v>Сьєрра-Леоне</v>
      </c>
      <c r="AD204" s="14" t="str">
        <f ca="1">IFERROR(__xludf.DUMMYFUNCTION("""COMPUTED_VALUE"""),"Sierra Leone")</f>
        <v>Sierra Leone</v>
      </c>
      <c r="AE204" s="14" t="str">
        <f ca="1">IFERROR(__xludf.DUMMYFUNCTION("""COMPUTED_VALUE"""),"Сьерра-Леоне")</f>
        <v>Сьерра-Леоне</v>
      </c>
      <c r="AF204" s="14"/>
    </row>
    <row r="205" spans="1:32" ht="13" x14ac:dyDescent="0.15">
      <c r="A205" s="14" t="str">
        <f ca="1">IFERROR(__xludf.DUMMYFUNCTION("""COMPUTED_VALUE"""),"SM")</f>
        <v>SM</v>
      </c>
      <c r="B205" s="14" t="str">
        <f ca="1">IFERROR(__xludf.DUMMYFUNCTION("""COMPUTED_VALUE"""),"San Marino")</f>
        <v>San Marino</v>
      </c>
      <c r="C205" s="14" t="str">
        <f ca="1">IFERROR(__xludf.DUMMYFUNCTION("""COMPUTED_VALUE"""),"سان مارينو")</f>
        <v>سان مارينو</v>
      </c>
      <c r="D205" s="14" t="str">
        <f ca="1">IFERROR(__xludf.DUMMYFUNCTION("""COMPUTED_VALUE"""),"Сан Марино")</f>
        <v>Сан Марино</v>
      </c>
      <c r="E205" s="14" t="str">
        <f ca="1">IFERROR(__xludf.DUMMYFUNCTION("""COMPUTED_VALUE"""),"San Marino")</f>
        <v>San Marino</v>
      </c>
      <c r="F205" s="14" t="str">
        <f ca="1">IFERROR(__xludf.DUMMYFUNCTION("""COMPUTED_VALUE"""),"Сан-Марына")</f>
        <v>Сан-Марына</v>
      </c>
      <c r="G205" s="14" t="str">
        <f ca="1">IFERROR(__xludf.DUMMYFUNCTION("""COMPUTED_VALUE"""),"San Marino")</f>
        <v>San Marino</v>
      </c>
      <c r="H205" s="14" t="str">
        <f ca="1">IFERROR(__xludf.DUMMYFUNCTION("""COMPUTED_VALUE"""),"San Marino")</f>
        <v>San Marino</v>
      </c>
      <c r="I205" s="14" t="str">
        <f ca="1">IFERROR(__xludf.DUMMYFUNCTION("""COMPUTED_VALUE"""),"San Marino")</f>
        <v>San Marino</v>
      </c>
      <c r="J205" s="14" t="str">
        <f ca="1">IFERROR(__xludf.DUMMYFUNCTION("""COMPUTED_VALUE"""),"San Marino")</f>
        <v>San Marino</v>
      </c>
      <c r="K205" s="14" t="str">
        <f ca="1">IFERROR(__xludf.DUMMYFUNCTION("""COMPUTED_VALUE"""),"Άγιος Μαρίνος")</f>
        <v>Άγιος Μαρίνος</v>
      </c>
      <c r="L205" s="14" t="str">
        <f ca="1">IFERROR(__xludf.DUMMYFUNCTION("""COMPUTED_VALUE"""),"ΑΓΙΟΣ ΜΑΡΙΝΟΣ")</f>
        <v>ΑΓΙΟΣ ΜΑΡΙΝΟΣ</v>
      </c>
      <c r="M205" s="14" t="str">
        <f ca="1">IFERROR(__xludf.DUMMYFUNCTION("""COMPUTED_VALUE"""),"San Marino")</f>
        <v>San Marino</v>
      </c>
      <c r="N205" s="14" t="str">
        <f ca="1">IFERROR(__xludf.DUMMYFUNCTION("""COMPUTED_VALUE"""),"San Marino")</f>
        <v>San Marino</v>
      </c>
      <c r="O205" s="14" t="str">
        <f ca="1">IFERROR(__xludf.DUMMYFUNCTION("""COMPUTED_VALUE"""),"San Marino")</f>
        <v>San Marino</v>
      </c>
      <c r="P205" s="14" t="str">
        <f ca="1">IFERROR(__xludf.DUMMYFUNCTION("""COMPUTED_VALUE"""),"San Marino")</f>
        <v>San Marino</v>
      </c>
      <c r="Q205" s="14" t="str">
        <f ca="1">IFERROR(__xludf.DUMMYFUNCTION("""COMPUTED_VALUE"""),"산마리노")</f>
        <v>산마리노</v>
      </c>
      <c r="R205" s="14" t="str">
        <f ca="1">IFERROR(__xludf.DUMMYFUNCTION("""COMPUTED_VALUE"""),"San Marino")</f>
        <v>San Marino</v>
      </c>
      <c r="S205" s="14" t="str">
        <f ca="1">IFERROR(__xludf.DUMMYFUNCTION("""COMPUTED_VALUE"""),"San Marino")</f>
        <v>San Marino</v>
      </c>
      <c r="T205" s="14" t="str">
        <f ca="1">IFERROR(__xludf.DUMMYFUNCTION("""COMPUTED_VALUE"""),"San Marino")</f>
        <v>San Marino</v>
      </c>
      <c r="U205" s="14" t="str">
        <f ca="1">IFERROR(__xludf.DUMMYFUNCTION("""COMPUTED_VALUE"""),"San Marino")</f>
        <v>San Marino</v>
      </c>
      <c r="V205" s="14" t="str">
        <f ca="1">IFERROR(__xludf.DUMMYFUNCTION("""COMPUTED_VALUE"""),"Сан-Марино")</f>
        <v>Сан-Марино</v>
      </c>
      <c r="W205" s="14" t="str">
        <f ca="1">IFERROR(__xludf.DUMMYFUNCTION("""COMPUTED_VALUE"""),"San Marino")</f>
        <v>San Marino</v>
      </c>
      <c r="X205" s="14" t="str">
        <f ca="1">IFERROR(__xludf.DUMMYFUNCTION("""COMPUTED_VALUE"""),"San Marino")</f>
        <v>San Marino</v>
      </c>
      <c r="Y205" s="14" t="str">
        <f ca="1">IFERROR(__xludf.DUMMYFUNCTION("""COMPUTED_VALUE"""),"San Maríno")</f>
        <v>San Maríno</v>
      </c>
      <c r="Z205" s="14" t="str">
        <f ca="1">IFERROR(__xludf.DUMMYFUNCTION("""COMPUTED_VALUE"""),"ซานมารีโน")</f>
        <v>ซานมารีโน</v>
      </c>
      <c r="AA205" s="14" t="str">
        <f ca="1">IFERROR(__xludf.DUMMYFUNCTION("""COMPUTED_VALUE"""),"San Marino")</f>
        <v>San Marino</v>
      </c>
      <c r="AB205" s="14" t="str">
        <f ca="1">IFERROR(__xludf.DUMMYFUNCTION("""COMPUTED_VALUE"""),"SAN MARİNO")</f>
        <v>SAN MARİNO</v>
      </c>
      <c r="AC205" s="14" t="str">
        <f ca="1">IFERROR(__xludf.DUMMYFUNCTION("""COMPUTED_VALUE"""),"Сан-Марино")</f>
        <v>Сан-Марино</v>
      </c>
      <c r="AD205" s="14" t="str">
        <f ca="1">IFERROR(__xludf.DUMMYFUNCTION("""COMPUTED_VALUE"""),"San Marino")</f>
        <v>San Marino</v>
      </c>
      <c r="AE205" s="14" t="str">
        <f ca="1">IFERROR(__xludf.DUMMYFUNCTION("""COMPUTED_VALUE"""),"Сан-Марино")</f>
        <v>Сан-Марино</v>
      </c>
      <c r="AF205" s="14"/>
    </row>
    <row r="206" spans="1:32" ht="13" x14ac:dyDescent="0.15">
      <c r="A206" s="14" t="str">
        <f ca="1">IFERROR(__xludf.DUMMYFUNCTION("""COMPUTED_VALUE"""),"SN")</f>
        <v>SN</v>
      </c>
      <c r="B206" s="14" t="str">
        <f ca="1">IFERROR(__xludf.DUMMYFUNCTION("""COMPUTED_VALUE"""),"Senegal")</f>
        <v>Senegal</v>
      </c>
      <c r="C206" s="14" t="str">
        <f ca="1">IFERROR(__xludf.DUMMYFUNCTION("""COMPUTED_VALUE"""),"السنغال")</f>
        <v>السنغال</v>
      </c>
      <c r="D206" s="14" t="str">
        <f ca="1">IFERROR(__xludf.DUMMYFUNCTION("""COMPUTED_VALUE"""),"Сенегал")</f>
        <v>Сенегал</v>
      </c>
      <c r="E206" s="14" t="str">
        <f ca="1">IFERROR(__xludf.DUMMYFUNCTION("""COMPUTED_VALUE"""),"Senegal")</f>
        <v>Senegal</v>
      </c>
      <c r="F206" s="14" t="str">
        <f ca="1">IFERROR(__xludf.DUMMYFUNCTION("""COMPUTED_VALUE"""),"Сенегал")</f>
        <v>Сенегал</v>
      </c>
      <c r="G206" s="14" t="str">
        <f ca="1">IFERROR(__xludf.DUMMYFUNCTION("""COMPUTED_VALUE"""),"Senegal")</f>
        <v>Senegal</v>
      </c>
      <c r="H206" s="14" t="str">
        <f ca="1">IFERROR(__xludf.DUMMYFUNCTION("""COMPUTED_VALUE"""),"Senegal")</f>
        <v>Senegal</v>
      </c>
      <c r="I206" s="14" t="str">
        <f ca="1">IFERROR(__xludf.DUMMYFUNCTION("""COMPUTED_VALUE"""),"Senegal")</f>
        <v>Senegal</v>
      </c>
      <c r="J206" s="14" t="str">
        <f ca="1">IFERROR(__xludf.DUMMYFUNCTION("""COMPUTED_VALUE"""),"Senegal")</f>
        <v>Senegal</v>
      </c>
      <c r="K206" s="14" t="str">
        <f ca="1">IFERROR(__xludf.DUMMYFUNCTION("""COMPUTED_VALUE"""),"Σενεγάλη")</f>
        <v>Σενεγάλη</v>
      </c>
      <c r="L206" s="14" t="str">
        <f ca="1">IFERROR(__xludf.DUMMYFUNCTION("""COMPUTED_VALUE"""),"ΣΕΝΕΓΑΛΗ")</f>
        <v>ΣΕΝΕΓΑΛΗ</v>
      </c>
      <c r="M206" s="14" t="str">
        <f ca="1">IFERROR(__xludf.DUMMYFUNCTION("""COMPUTED_VALUE"""),"Senegal")</f>
        <v>Senegal</v>
      </c>
      <c r="N206" s="14" t="str">
        <f ca="1">IFERROR(__xludf.DUMMYFUNCTION("""COMPUTED_VALUE"""),"Szenegál")</f>
        <v>Szenegál</v>
      </c>
      <c r="O206" s="14" t="str">
        <f ca="1">IFERROR(__xludf.DUMMYFUNCTION("""COMPUTED_VALUE"""),"Senegal")</f>
        <v>Senegal</v>
      </c>
      <c r="P206" s="14" t="str">
        <f ca="1">IFERROR(__xludf.DUMMYFUNCTION("""COMPUTED_VALUE"""),"Senegal")</f>
        <v>Senegal</v>
      </c>
      <c r="Q206" s="14" t="str">
        <f ca="1">IFERROR(__xludf.DUMMYFUNCTION("""COMPUTED_VALUE"""),"세네갈")</f>
        <v>세네갈</v>
      </c>
      <c r="R206" s="14" t="str">
        <f ca="1">IFERROR(__xludf.DUMMYFUNCTION("""COMPUTED_VALUE"""),"Senegal")</f>
        <v>Senegal</v>
      </c>
      <c r="S206" s="14" t="str">
        <f ca="1">IFERROR(__xludf.DUMMYFUNCTION("""COMPUTED_VALUE"""),"Senegal")</f>
        <v>Senegal</v>
      </c>
      <c r="T206" s="14" t="str">
        <f ca="1">IFERROR(__xludf.DUMMYFUNCTION("""COMPUTED_VALUE"""),"Senegal")</f>
        <v>Senegal</v>
      </c>
      <c r="U206" s="14" t="str">
        <f ca="1">IFERROR(__xludf.DUMMYFUNCTION("""COMPUTED_VALUE"""),"Senegal")</f>
        <v>Senegal</v>
      </c>
      <c r="V206" s="14" t="str">
        <f ca="1">IFERROR(__xludf.DUMMYFUNCTION("""COMPUTED_VALUE"""),"Сенегал")</f>
        <v>Сенегал</v>
      </c>
      <c r="W206" s="14" t="str">
        <f ca="1">IFERROR(__xludf.DUMMYFUNCTION("""COMPUTED_VALUE"""),"Senegal")</f>
        <v>Senegal</v>
      </c>
      <c r="X206" s="14" t="str">
        <f ca="1">IFERROR(__xludf.DUMMYFUNCTION("""COMPUTED_VALUE"""),"Senegal")</f>
        <v>Senegal</v>
      </c>
      <c r="Y206" s="14" t="str">
        <f ca="1">IFERROR(__xludf.DUMMYFUNCTION("""COMPUTED_VALUE"""),"Senegal")</f>
        <v>Senegal</v>
      </c>
      <c r="Z206" s="14" t="str">
        <f ca="1">IFERROR(__xludf.DUMMYFUNCTION("""COMPUTED_VALUE"""),"เซเนกัล")</f>
        <v>เซเนกัล</v>
      </c>
      <c r="AA206" s="14" t="str">
        <f ca="1">IFERROR(__xludf.DUMMYFUNCTION("""COMPUTED_VALUE"""),"Senegal")</f>
        <v>Senegal</v>
      </c>
      <c r="AB206" s="14" t="str">
        <f ca="1">IFERROR(__xludf.DUMMYFUNCTION("""COMPUTED_VALUE"""),"SENEGAL")</f>
        <v>SENEGAL</v>
      </c>
      <c r="AC206" s="14" t="str">
        <f ca="1">IFERROR(__xludf.DUMMYFUNCTION("""COMPUTED_VALUE"""),"Сенегал")</f>
        <v>Сенегал</v>
      </c>
      <c r="AD206" s="14" t="str">
        <f ca="1">IFERROR(__xludf.DUMMYFUNCTION("""COMPUTED_VALUE"""),"Sénégal")</f>
        <v>Sénégal</v>
      </c>
      <c r="AE206" s="14" t="str">
        <f ca="1">IFERROR(__xludf.DUMMYFUNCTION("""COMPUTED_VALUE"""),"Сенегал")</f>
        <v>Сенегал</v>
      </c>
      <c r="AF206" s="14"/>
    </row>
    <row r="207" spans="1:32" ht="13" x14ac:dyDescent="0.15">
      <c r="A207" s="14" t="str">
        <f ca="1">IFERROR(__xludf.DUMMYFUNCTION("""COMPUTED_VALUE"""),"SO")</f>
        <v>SO</v>
      </c>
      <c r="B207" s="14" t="str">
        <f ca="1">IFERROR(__xludf.DUMMYFUNCTION("""COMPUTED_VALUE"""),"Somalia")</f>
        <v>Somalia</v>
      </c>
      <c r="C207" s="14" t="str">
        <f ca="1">IFERROR(__xludf.DUMMYFUNCTION("""COMPUTED_VALUE"""),"الصومال")</f>
        <v>الصومال</v>
      </c>
      <c r="D207" s="14" t="str">
        <f ca="1">IFERROR(__xludf.DUMMYFUNCTION("""COMPUTED_VALUE"""),"Сомалия")</f>
        <v>Сомалия</v>
      </c>
      <c r="E207" s="14" t="str">
        <f ca="1">IFERROR(__xludf.DUMMYFUNCTION("""COMPUTED_VALUE"""),"Somália")</f>
        <v>Somália</v>
      </c>
      <c r="F207" s="14" t="str">
        <f ca="1">IFERROR(__xludf.DUMMYFUNCTION("""COMPUTED_VALUE"""),"Самалі")</f>
        <v>Самалі</v>
      </c>
      <c r="G207" s="14" t="str">
        <f ca="1">IFERROR(__xludf.DUMMYFUNCTION("""COMPUTED_VALUE"""),"Somálsko")</f>
        <v>Somálsko</v>
      </c>
      <c r="H207" s="14" t="str">
        <f ca="1">IFERROR(__xludf.DUMMYFUNCTION("""COMPUTED_VALUE"""),"Somalia")</f>
        <v>Somalia</v>
      </c>
      <c r="I207" s="14" t="str">
        <f ca="1">IFERROR(__xludf.DUMMYFUNCTION("""COMPUTED_VALUE"""),"Somalia")</f>
        <v>Somalia</v>
      </c>
      <c r="J207" s="14" t="str">
        <f ca="1">IFERROR(__xludf.DUMMYFUNCTION("""COMPUTED_VALUE"""),"Somalia")</f>
        <v>Somalia</v>
      </c>
      <c r="K207" s="14" t="str">
        <f ca="1">IFERROR(__xludf.DUMMYFUNCTION("""COMPUTED_VALUE"""),"Σομαλία")</f>
        <v>Σομαλία</v>
      </c>
      <c r="L207" s="14" t="str">
        <f ca="1">IFERROR(__xludf.DUMMYFUNCTION("""COMPUTED_VALUE"""),"ΣΟΜΑΛΙΑ")</f>
        <v>ΣΟΜΑΛΙΑ</v>
      </c>
      <c r="M207" s="14" t="str">
        <f ca="1">IFERROR(__xludf.DUMMYFUNCTION("""COMPUTED_VALUE"""),"Somalija")</f>
        <v>Somalija</v>
      </c>
      <c r="N207" s="14" t="str">
        <f ca="1">IFERROR(__xludf.DUMMYFUNCTION("""COMPUTED_VALUE"""),"Szomália")</f>
        <v>Szomália</v>
      </c>
      <c r="O207" s="14" t="str">
        <f ca="1">IFERROR(__xludf.DUMMYFUNCTION("""COMPUTED_VALUE"""),"Somalia")</f>
        <v>Somalia</v>
      </c>
      <c r="P207" s="14" t="str">
        <f ca="1">IFERROR(__xludf.DUMMYFUNCTION("""COMPUTED_VALUE"""),"Somalia")</f>
        <v>Somalia</v>
      </c>
      <c r="Q207" s="14" t="str">
        <f ca="1">IFERROR(__xludf.DUMMYFUNCTION("""COMPUTED_VALUE"""),"소말리아")</f>
        <v>소말리아</v>
      </c>
      <c r="R207" s="14" t="str">
        <f ca="1">IFERROR(__xludf.DUMMYFUNCTION("""COMPUTED_VALUE"""),"Somalia")</f>
        <v>Somalia</v>
      </c>
      <c r="S207" s="14" t="str">
        <f ca="1">IFERROR(__xludf.DUMMYFUNCTION("""COMPUTED_VALUE"""),"Somália")</f>
        <v>Somália</v>
      </c>
      <c r="T207" s="14" t="str">
        <f ca="1">IFERROR(__xludf.DUMMYFUNCTION("""COMPUTED_VALUE"""),"Somalia")</f>
        <v>Somalia</v>
      </c>
      <c r="U207" s="14" t="str">
        <f ca="1">IFERROR(__xludf.DUMMYFUNCTION("""COMPUTED_VALUE"""),"Somalija")</f>
        <v>Somalija</v>
      </c>
      <c r="V207" s="14" t="str">
        <f ca="1">IFERROR(__xludf.DUMMYFUNCTION("""COMPUTED_VALUE"""),"Сомали")</f>
        <v>Сомали</v>
      </c>
      <c r="W207" s="14" t="str">
        <f ca="1">IFERROR(__xludf.DUMMYFUNCTION("""COMPUTED_VALUE"""),"Somalia")</f>
        <v>Somalia</v>
      </c>
      <c r="X207" s="14" t="str">
        <f ca="1">IFERROR(__xludf.DUMMYFUNCTION("""COMPUTED_VALUE"""),"Somalija")</f>
        <v>Somalija</v>
      </c>
      <c r="Y207" s="14" t="str">
        <f ca="1">IFERROR(__xludf.DUMMYFUNCTION("""COMPUTED_VALUE"""),"Somálsko")</f>
        <v>Somálsko</v>
      </c>
      <c r="Z207" s="14" t="str">
        <f ca="1">IFERROR(__xludf.DUMMYFUNCTION("""COMPUTED_VALUE"""),"โซมาเลีย")</f>
        <v>โซมาเลีย</v>
      </c>
      <c r="AA207" s="14" t="str">
        <f ca="1">IFERROR(__xludf.DUMMYFUNCTION("""COMPUTED_VALUE"""),"Somali")</f>
        <v>Somali</v>
      </c>
      <c r="AB207" s="14" t="str">
        <f ca="1">IFERROR(__xludf.DUMMYFUNCTION("""COMPUTED_VALUE"""),"SOMALİ")</f>
        <v>SOMALİ</v>
      </c>
      <c r="AC207" s="14" t="str">
        <f ca="1">IFERROR(__xludf.DUMMYFUNCTION("""COMPUTED_VALUE"""),"Сомалі")</f>
        <v>Сомалі</v>
      </c>
      <c r="AD207" s="14" t="str">
        <f ca="1">IFERROR(__xludf.DUMMYFUNCTION("""COMPUTED_VALUE"""),"Somalia")</f>
        <v>Somalia</v>
      </c>
      <c r="AE207" s="14" t="str">
        <f ca="1">IFERROR(__xludf.DUMMYFUNCTION("""COMPUTED_VALUE"""),"Сомали")</f>
        <v>Сомали</v>
      </c>
      <c r="AF207" s="14"/>
    </row>
    <row r="208" spans="1:32" ht="13" x14ac:dyDescent="0.15">
      <c r="A208" s="14" t="str">
        <f ca="1">IFERROR(__xludf.DUMMYFUNCTION("""COMPUTED_VALUE"""),"SR")</f>
        <v>SR</v>
      </c>
      <c r="B208" s="14" t="str">
        <f ca="1">IFERROR(__xludf.DUMMYFUNCTION("""COMPUTED_VALUE"""),"Suriname")</f>
        <v>Suriname</v>
      </c>
      <c r="C208" s="14" t="str">
        <f ca="1">IFERROR(__xludf.DUMMYFUNCTION("""COMPUTED_VALUE"""),"سورينام")</f>
        <v>سورينام</v>
      </c>
      <c r="D208" s="14" t="str">
        <f ca="1">IFERROR(__xludf.DUMMYFUNCTION("""COMPUTED_VALUE"""),"Суринам")</f>
        <v>Суринам</v>
      </c>
      <c r="E208" s="14" t="str">
        <f ca="1">IFERROR(__xludf.DUMMYFUNCTION("""COMPUTED_VALUE"""),"Suriname")</f>
        <v>Suriname</v>
      </c>
      <c r="F208" s="14" t="str">
        <f ca="1">IFERROR(__xludf.DUMMYFUNCTION("""COMPUTED_VALUE"""),"Сурынам")</f>
        <v>Сурынам</v>
      </c>
      <c r="G208" s="14" t="str">
        <f ca="1">IFERROR(__xludf.DUMMYFUNCTION("""COMPUTED_VALUE"""),"Surinam")</f>
        <v>Surinam</v>
      </c>
      <c r="H208" s="14" t="str">
        <f ca="1">IFERROR(__xludf.DUMMYFUNCTION("""COMPUTED_VALUE"""),"Suriname")</f>
        <v>Suriname</v>
      </c>
      <c r="I208" s="14" t="str">
        <f ca="1">IFERROR(__xludf.DUMMYFUNCTION("""COMPUTED_VALUE"""),"Suriname")</f>
        <v>Suriname</v>
      </c>
      <c r="J208" s="14" t="str">
        <f ca="1">IFERROR(__xludf.DUMMYFUNCTION("""COMPUTED_VALUE"""),"Suriname")</f>
        <v>Suriname</v>
      </c>
      <c r="K208" s="14" t="str">
        <f ca="1">IFERROR(__xludf.DUMMYFUNCTION("""COMPUTED_VALUE"""),"Σουρινάμ")</f>
        <v>Σουρινάμ</v>
      </c>
      <c r="L208" s="14" t="str">
        <f ca="1">IFERROR(__xludf.DUMMYFUNCTION("""COMPUTED_VALUE"""),"ΣΟΥΡΙΝΑΜ")</f>
        <v>ΣΟΥΡΙΝΑΜ</v>
      </c>
      <c r="M208" s="14" t="str">
        <f ca="1">IFERROR(__xludf.DUMMYFUNCTION("""COMPUTED_VALUE"""),"Surinam")</f>
        <v>Surinam</v>
      </c>
      <c r="N208" s="14" t="str">
        <f ca="1">IFERROR(__xludf.DUMMYFUNCTION("""COMPUTED_VALUE"""),"Suriname")</f>
        <v>Suriname</v>
      </c>
      <c r="O208" s="14" t="str">
        <f ca="1">IFERROR(__xludf.DUMMYFUNCTION("""COMPUTED_VALUE"""),"Suriname")</f>
        <v>Suriname</v>
      </c>
      <c r="P208" s="14" t="str">
        <f ca="1">IFERROR(__xludf.DUMMYFUNCTION("""COMPUTED_VALUE"""),"Suriname")</f>
        <v>Suriname</v>
      </c>
      <c r="Q208" s="14" t="str">
        <f ca="1">IFERROR(__xludf.DUMMYFUNCTION("""COMPUTED_VALUE"""),"수리남")</f>
        <v>수리남</v>
      </c>
      <c r="R208" s="14" t="str">
        <f ca="1">IFERROR(__xludf.DUMMYFUNCTION("""COMPUTED_VALUE"""),"Surinam")</f>
        <v>Surinam</v>
      </c>
      <c r="S208" s="14" t="str">
        <f ca="1">IFERROR(__xludf.DUMMYFUNCTION("""COMPUTED_VALUE"""),"Suriname")</f>
        <v>Suriname</v>
      </c>
      <c r="T208" s="14" t="str">
        <f ca="1">IFERROR(__xludf.DUMMYFUNCTION("""COMPUTED_VALUE"""),"Surinam")</f>
        <v>Surinam</v>
      </c>
      <c r="U208" s="14" t="str">
        <f ca="1">IFERROR(__xludf.DUMMYFUNCTION("""COMPUTED_VALUE"""),"Surinam")</f>
        <v>Surinam</v>
      </c>
      <c r="V208" s="14" t="str">
        <f ca="1">IFERROR(__xludf.DUMMYFUNCTION("""COMPUTED_VALUE"""),"Суринам")</f>
        <v>Суринам</v>
      </c>
      <c r="W208" s="14" t="str">
        <f ca="1">IFERROR(__xludf.DUMMYFUNCTION("""COMPUTED_VALUE"""),"Surinam")</f>
        <v>Surinam</v>
      </c>
      <c r="X208" s="14" t="str">
        <f ca="1">IFERROR(__xludf.DUMMYFUNCTION("""COMPUTED_VALUE"""),"Surinam")</f>
        <v>Surinam</v>
      </c>
      <c r="Y208" s="14" t="str">
        <f ca="1">IFERROR(__xludf.DUMMYFUNCTION("""COMPUTED_VALUE"""),"Surinam")</f>
        <v>Surinam</v>
      </c>
      <c r="Z208" s="14" t="str">
        <f ca="1">IFERROR(__xludf.DUMMYFUNCTION("""COMPUTED_VALUE"""),"ซูรินาม")</f>
        <v>ซูรินาม</v>
      </c>
      <c r="AA208" s="14" t="str">
        <f ca="1">IFERROR(__xludf.DUMMYFUNCTION("""COMPUTED_VALUE"""),"Surinam")</f>
        <v>Surinam</v>
      </c>
      <c r="AB208" s="14" t="str">
        <f ca="1">IFERROR(__xludf.DUMMYFUNCTION("""COMPUTED_VALUE"""),"SURİNAM")</f>
        <v>SURİNAM</v>
      </c>
      <c r="AC208" s="14" t="str">
        <f ca="1">IFERROR(__xludf.DUMMYFUNCTION("""COMPUTED_VALUE"""),"Суринам")</f>
        <v>Суринам</v>
      </c>
      <c r="AD208" s="14" t="str">
        <f ca="1">IFERROR(__xludf.DUMMYFUNCTION("""COMPUTED_VALUE"""),"Suriname")</f>
        <v>Suriname</v>
      </c>
      <c r="AE208" s="14" t="str">
        <f ca="1">IFERROR(__xludf.DUMMYFUNCTION("""COMPUTED_VALUE"""),"Суринам")</f>
        <v>Суринам</v>
      </c>
      <c r="AF208" s="14"/>
    </row>
    <row r="209" spans="1:32" ht="13" x14ac:dyDescent="0.15">
      <c r="A209" s="14" t="str">
        <f ca="1">IFERROR(__xludf.DUMMYFUNCTION("""COMPUTED_VALUE"""),"SS")</f>
        <v>SS</v>
      </c>
      <c r="B209" s="14" t="str">
        <f ca="1">IFERROR(__xludf.DUMMYFUNCTION("""COMPUTED_VALUE"""),"South Sudan")</f>
        <v>South Sudan</v>
      </c>
      <c r="C209" s="14"/>
      <c r="D209" s="14"/>
      <c r="E209" s="14" t="str">
        <f ca="1">IFERROR(__xludf.DUMMYFUNCTION("""COMPUTED_VALUE"""),"Sudão do Sul")</f>
        <v>Sudão do Sul</v>
      </c>
      <c r="F209" s="14"/>
      <c r="G209" s="14" t="str">
        <f ca="1">IFERROR(__xludf.DUMMYFUNCTION("""COMPUTED_VALUE"""),"Jižní Súdán")</f>
        <v>Jižní Súdán</v>
      </c>
      <c r="H209" s="14" t="str">
        <f ca="1">IFERROR(__xludf.DUMMYFUNCTION("""COMPUTED_VALUE"""),"Südsudan")</f>
        <v>Südsudan</v>
      </c>
      <c r="I209" s="14" t="str">
        <f ca="1">IFERROR(__xludf.DUMMYFUNCTION("""COMPUTED_VALUE"""),"Sudán del Sur")</f>
        <v>Sudán del Sur</v>
      </c>
      <c r="J209" s="14"/>
      <c r="K209" s="14" t="str">
        <f ca="1">IFERROR(__xludf.DUMMYFUNCTION("""COMPUTED_VALUE"""),"Νότιο Σουδάν")</f>
        <v>Νότιο Σουδάν</v>
      </c>
      <c r="L209" s="14" t="str">
        <f ca="1">IFERROR(__xludf.DUMMYFUNCTION("""COMPUTED_VALUE"""),"ΝΟΤΙΟ ΣΟΥΔΑΝ")</f>
        <v>ΝΟΤΙΟ ΣΟΥΔΑΝ</v>
      </c>
      <c r="M209" s="14"/>
      <c r="N209" s="14" t="str">
        <f ca="1">IFERROR(__xludf.DUMMYFUNCTION("""COMPUTED_VALUE"""),"Dél-Szudán")</f>
        <v>Dél-Szudán</v>
      </c>
      <c r="O209" s="14"/>
      <c r="P209" s="14" t="str">
        <f ca="1">IFERROR(__xludf.DUMMYFUNCTION("""COMPUTED_VALUE"""),"Sudan del Sud")</f>
        <v>Sudan del Sud</v>
      </c>
      <c r="Q209" s="14" t="str">
        <f ca="1">IFERROR(__xludf.DUMMYFUNCTION("""COMPUTED_VALUE"""),"남수단")</f>
        <v>남수단</v>
      </c>
      <c r="R209" s="14" t="str">
        <f ca="1">IFERROR(__xludf.DUMMYFUNCTION("""COMPUTED_VALUE"""),"Sudan Południowy")</f>
        <v>Sudan Południowy</v>
      </c>
      <c r="S209" s="14" t="str">
        <f ca="1">IFERROR(__xludf.DUMMYFUNCTION("""COMPUTED_VALUE"""),"Sudão do Sul")</f>
        <v>Sudão do Sul</v>
      </c>
      <c r="T209" s="14" t="str">
        <f ca="1">IFERROR(__xludf.DUMMYFUNCTION("""COMPUTED_VALUE"""),"Sudanul de Sud")</f>
        <v>Sudanul de Sud</v>
      </c>
      <c r="U209" s="14"/>
      <c r="V209" s="14" t="str">
        <f ca="1">IFERROR(__xludf.DUMMYFUNCTION("""COMPUTED_VALUE"""),"Южный Судан")</f>
        <v>Южный Судан</v>
      </c>
      <c r="W209" s="14"/>
      <c r="X209" s="14"/>
      <c r="Y209" s="14" t="str">
        <f ca="1">IFERROR(__xludf.DUMMYFUNCTION("""COMPUTED_VALUE"""),"Južný Sudán")</f>
        <v>Južný Sudán</v>
      </c>
      <c r="Z209" s="14" t="str">
        <f ca="1">IFERROR(__xludf.DUMMYFUNCTION("""COMPUTED_VALUE"""),"เกาะเซาท์จอร์เจียและหมู่เกาะเซาท์แซนด์วิช")</f>
        <v>เกาะเซาท์จอร์เจียและหมู่เกาะเซาท์แซนด์วิช</v>
      </c>
      <c r="AA209" s="14" t="str">
        <f ca="1">IFERROR(__xludf.DUMMYFUNCTION("""COMPUTED_VALUE"""),"Güney Sudan")</f>
        <v>Güney Sudan</v>
      </c>
      <c r="AB209" s="14" t="str">
        <f ca="1">IFERROR(__xludf.DUMMYFUNCTION("""COMPUTED_VALUE"""),"GÜNEY SUDAN")</f>
        <v>GÜNEY SUDAN</v>
      </c>
      <c r="AC209" s="14" t="str">
        <f ca="1">IFERROR(__xludf.DUMMYFUNCTION("""COMPUTED_VALUE"""),"Південний Судан")</f>
        <v>Південний Судан</v>
      </c>
      <c r="AD209" s="14"/>
      <c r="AE209" s="14" t="str">
        <f ca="1">IFERROR(__xludf.DUMMYFUNCTION("""COMPUTED_VALUE"""),"")</f>
        <v/>
      </c>
      <c r="AF209" s="14"/>
    </row>
    <row r="210" spans="1:32" ht="13" x14ac:dyDescent="0.15">
      <c r="A210" s="14" t="str">
        <f ca="1">IFERROR(__xludf.DUMMYFUNCTION("""COMPUTED_VALUE"""),"ST")</f>
        <v>ST</v>
      </c>
      <c r="B210" s="14" t="str">
        <f ca="1">IFERROR(__xludf.DUMMYFUNCTION("""COMPUTED_VALUE"""),"Sao Tome and Principe")</f>
        <v>Sao Tome and Principe</v>
      </c>
      <c r="C210" s="14" t="str">
        <f ca="1">IFERROR(__xludf.DUMMYFUNCTION("""COMPUTED_VALUE"""),"ساو تومي وبرينسيبي")</f>
        <v>ساو تومي وبرينسيبي</v>
      </c>
      <c r="D210" s="14" t="str">
        <f ca="1">IFERROR(__xludf.DUMMYFUNCTION("""COMPUTED_VALUE"""),"Сао Томе и Принсипи")</f>
        <v>Сао Томе и Принсипи</v>
      </c>
      <c r="E210" s="14" t="str">
        <f ca="1">IFERROR(__xludf.DUMMYFUNCTION("""COMPUTED_VALUE"""),"São Tomé e Príncipe")</f>
        <v>São Tomé e Príncipe</v>
      </c>
      <c r="F210" s="14" t="str">
        <f ca="1">IFERROR(__xludf.DUMMYFUNCTION("""COMPUTED_VALUE"""),"Сан-Тамэ і Прынсіпі")</f>
        <v>Сан-Тамэ і Прынсіпі</v>
      </c>
      <c r="G210" s="14" t="str">
        <f ca="1">IFERROR(__xludf.DUMMYFUNCTION("""COMPUTED_VALUE"""),"Svatý Tomáš a Princův ostrov")</f>
        <v>Svatý Tomáš a Princův ostrov</v>
      </c>
      <c r="H210" s="14" t="str">
        <f ca="1">IFERROR(__xludf.DUMMYFUNCTION("""COMPUTED_VALUE"""),"São Tomé und Príncipe")</f>
        <v>São Tomé und Príncipe</v>
      </c>
      <c r="I210" s="14" t="str">
        <f ca="1">IFERROR(__xludf.DUMMYFUNCTION("""COMPUTED_VALUE"""),"Santo Tomé y Príncipe")</f>
        <v>Santo Tomé y Príncipe</v>
      </c>
      <c r="J210" s="14" t="str">
        <f ca="1">IFERROR(__xludf.DUMMYFUNCTION("""COMPUTED_VALUE"""),"São Tomé ja Príncipe")</f>
        <v>São Tomé ja Príncipe</v>
      </c>
      <c r="K210" s="14" t="str">
        <f ca="1">IFERROR(__xludf.DUMMYFUNCTION("""COMPUTED_VALUE"""),"Σάο Τομέ και Πρίνσιπε")</f>
        <v>Σάο Τομέ και Πρίνσιπε</v>
      </c>
      <c r="L210" s="14" t="str">
        <f ca="1">IFERROR(__xludf.DUMMYFUNCTION("""COMPUTED_VALUE"""),"ΣΑΟ ΤΟΜΕ ΚΑΙ ΠΡΙΝΣΙΠΕ")</f>
        <v>ΣΑΟ ΤΟΜΕ ΚΑΙ ΠΡΙΝΣΙΠΕ</v>
      </c>
      <c r="M210" s="14" t="str">
        <f ca="1">IFERROR(__xludf.DUMMYFUNCTION("""COMPUTED_VALUE"""),"Sveti Toma i Prinsipe")</f>
        <v>Sveti Toma i Prinsipe</v>
      </c>
      <c r="N210" s="14" t="str">
        <f ca="1">IFERROR(__xludf.DUMMYFUNCTION("""COMPUTED_VALUE"""),"São Tomé és Príncipe")</f>
        <v>São Tomé és Príncipe</v>
      </c>
      <c r="O210" s="14" t="str">
        <f ca="1">IFERROR(__xludf.DUMMYFUNCTION("""COMPUTED_VALUE"""),"Sao Tome dan Principe")</f>
        <v>Sao Tome dan Principe</v>
      </c>
      <c r="P210" s="14" t="str">
        <f ca="1">IFERROR(__xludf.DUMMYFUNCTION("""COMPUTED_VALUE"""),"São Tomé e Príncipe")</f>
        <v>São Tomé e Príncipe</v>
      </c>
      <c r="Q210" s="14" t="str">
        <f ca="1">IFERROR(__xludf.DUMMYFUNCTION("""COMPUTED_VALUE"""),"상투메 프린시페")</f>
        <v>상투메 프린시페</v>
      </c>
      <c r="R210" s="14" t="str">
        <f ca="1">IFERROR(__xludf.DUMMYFUNCTION("""COMPUTED_VALUE"""),"Wyspy Świętego Tomasza i Książęca")</f>
        <v>Wyspy Świętego Tomasza i Książęca</v>
      </c>
      <c r="S210" s="14" t="str">
        <f ca="1">IFERROR(__xludf.DUMMYFUNCTION("""COMPUTED_VALUE"""),"São Tomé e Príncipe")</f>
        <v>São Tomé e Príncipe</v>
      </c>
      <c r="T210" s="14" t="str">
        <f ca="1">IFERROR(__xludf.DUMMYFUNCTION("""COMPUTED_VALUE"""),"Sao Tome și Principe")</f>
        <v>Sao Tome și Principe</v>
      </c>
      <c r="U210" s="14" t="str">
        <f ca="1">IFERROR(__xludf.DUMMYFUNCTION("""COMPUTED_VALUE"""),"Sao Tome i Principe")</f>
        <v>Sao Tome i Principe</v>
      </c>
      <c r="V210" s="14" t="str">
        <f ca="1">IFERROR(__xludf.DUMMYFUNCTION("""COMPUTED_VALUE"""),"Сан-Томе и Принсипи")</f>
        <v>Сан-Томе и Принсипи</v>
      </c>
      <c r="W210" s="14" t="str">
        <f ca="1">IFERROR(__xludf.DUMMYFUNCTION("""COMPUTED_VALUE"""),"São Tomé och Príncipe")</f>
        <v>São Tomé och Príncipe</v>
      </c>
      <c r="X210" s="14" t="str">
        <f ca="1">IFERROR(__xludf.DUMMYFUNCTION("""COMPUTED_VALUE"""),"Sao Tome in Principe")</f>
        <v>Sao Tome in Principe</v>
      </c>
      <c r="Y210" s="14" t="str">
        <f ca="1">IFERROR(__xludf.DUMMYFUNCTION("""COMPUTED_VALUE"""),"Svätý Tomáš a Princov ostrov")</f>
        <v>Svätý Tomáš a Princov ostrov</v>
      </c>
      <c r="Z210" s="14" t="str">
        <f ca="1">IFERROR(__xludf.DUMMYFUNCTION("""COMPUTED_VALUE"""),"เซาตูเมและปรินซีปี")</f>
        <v>เซาตูเมและปรินซีปี</v>
      </c>
      <c r="AA210" s="14" t="str">
        <f ca="1">IFERROR(__xludf.DUMMYFUNCTION("""COMPUTED_VALUE"""),"Sao Tome ve Principe")</f>
        <v>Sao Tome ve Principe</v>
      </c>
      <c r="AB210" s="14" t="str">
        <f ca="1">IFERROR(__xludf.DUMMYFUNCTION("""COMPUTED_VALUE"""),"SAO TOME VE PRİNCİPE")</f>
        <v>SAO TOME VE PRİNCİPE</v>
      </c>
      <c r="AC210" s="14" t="str">
        <f ca="1">IFERROR(__xludf.DUMMYFUNCTION("""COMPUTED_VALUE"""),"Сан-Томе і Принсіпі")</f>
        <v>Сан-Томе і Принсіпі</v>
      </c>
      <c r="AD210" s="14" t="str">
        <f ca="1">IFERROR(__xludf.DUMMYFUNCTION("""COMPUTED_VALUE"""),"Sao Tome và Principe")</f>
        <v>Sao Tome và Principe</v>
      </c>
      <c r="AE210" s="14" t="str">
        <f ca="1">IFERROR(__xludf.DUMMYFUNCTION("""COMPUTED_VALUE"""),"Сан-Томе және Принсипи")</f>
        <v>Сан-Томе және Принсипи</v>
      </c>
      <c r="AF210" s="14"/>
    </row>
    <row r="211" spans="1:32" ht="13" x14ac:dyDescent="0.15">
      <c r="A211" s="14" t="str">
        <f ca="1">IFERROR(__xludf.DUMMYFUNCTION("""COMPUTED_VALUE"""),"SV")</f>
        <v>SV</v>
      </c>
      <c r="B211" s="14" t="str">
        <f ca="1">IFERROR(__xludf.DUMMYFUNCTION("""COMPUTED_VALUE"""),"El Salvador")</f>
        <v>El Salvador</v>
      </c>
      <c r="C211" s="14" t="str">
        <f ca="1">IFERROR(__xludf.DUMMYFUNCTION("""COMPUTED_VALUE"""),"السلفادور")</f>
        <v>السلفادور</v>
      </c>
      <c r="D211" s="14" t="str">
        <f ca="1">IFERROR(__xludf.DUMMYFUNCTION("""COMPUTED_VALUE"""),"Салвадор")</f>
        <v>Салвадор</v>
      </c>
      <c r="E211" s="14" t="str">
        <f ca="1">IFERROR(__xludf.DUMMYFUNCTION("""COMPUTED_VALUE"""),"El Salvador")</f>
        <v>El Salvador</v>
      </c>
      <c r="F211" s="14" t="str">
        <f ca="1">IFERROR(__xludf.DUMMYFUNCTION("""COMPUTED_VALUE"""),"Сальвадор")</f>
        <v>Сальвадор</v>
      </c>
      <c r="G211" s="14" t="str">
        <f ca="1">IFERROR(__xludf.DUMMYFUNCTION("""COMPUTED_VALUE"""),"Salvador")</f>
        <v>Salvador</v>
      </c>
      <c r="H211" s="14" t="str">
        <f ca="1">IFERROR(__xludf.DUMMYFUNCTION("""COMPUTED_VALUE"""),"El Salvador")</f>
        <v>El Salvador</v>
      </c>
      <c r="I211" s="14" t="str">
        <f ca="1">IFERROR(__xludf.DUMMYFUNCTION("""COMPUTED_VALUE"""),"El Salvador")</f>
        <v>El Salvador</v>
      </c>
      <c r="J211" s="14" t="str">
        <f ca="1">IFERROR(__xludf.DUMMYFUNCTION("""COMPUTED_VALUE"""),"El Salvador")</f>
        <v>El Salvador</v>
      </c>
      <c r="K211" s="14" t="str">
        <f ca="1">IFERROR(__xludf.DUMMYFUNCTION("""COMPUTED_VALUE"""),"Ελ Σαλβαδόρ")</f>
        <v>Ελ Σαλβαδόρ</v>
      </c>
      <c r="L211" s="14" t="str">
        <f ca="1">IFERROR(__xludf.DUMMYFUNCTION("""COMPUTED_VALUE"""),"ΕΛ ΣΑΛΒΑΔΟΡ")</f>
        <v>ΕΛ ΣΑΛΒΑΔΟΡ</v>
      </c>
      <c r="M211" s="14" t="str">
        <f ca="1">IFERROR(__xludf.DUMMYFUNCTION("""COMPUTED_VALUE"""),"Salvador")</f>
        <v>Salvador</v>
      </c>
      <c r="N211" s="14" t="str">
        <f ca="1">IFERROR(__xludf.DUMMYFUNCTION("""COMPUTED_VALUE"""),"Salvador")</f>
        <v>Salvador</v>
      </c>
      <c r="O211" s="14" t="str">
        <f ca="1">IFERROR(__xludf.DUMMYFUNCTION("""COMPUTED_VALUE"""),"El Salvador")</f>
        <v>El Salvador</v>
      </c>
      <c r="P211" s="14" t="str">
        <f ca="1">IFERROR(__xludf.DUMMYFUNCTION("""COMPUTED_VALUE"""),"El Salvador")</f>
        <v>El Salvador</v>
      </c>
      <c r="Q211" s="14" t="str">
        <f ca="1">IFERROR(__xludf.DUMMYFUNCTION("""COMPUTED_VALUE"""),"엘살바도르")</f>
        <v>엘살바도르</v>
      </c>
      <c r="R211" s="14" t="str">
        <f ca="1">IFERROR(__xludf.DUMMYFUNCTION("""COMPUTED_VALUE"""),"Salwador")</f>
        <v>Salwador</v>
      </c>
      <c r="S211" s="14" t="str">
        <f ca="1">IFERROR(__xludf.DUMMYFUNCTION("""COMPUTED_VALUE"""),"El Salvador")</f>
        <v>El Salvador</v>
      </c>
      <c r="T211" s="14" t="str">
        <f ca="1">IFERROR(__xludf.DUMMYFUNCTION("""COMPUTED_VALUE"""),"El Salvador")</f>
        <v>El Salvador</v>
      </c>
      <c r="U211" s="14" t="str">
        <f ca="1">IFERROR(__xludf.DUMMYFUNCTION("""COMPUTED_VALUE"""),"Salvador")</f>
        <v>Salvador</v>
      </c>
      <c r="V211" s="14" t="str">
        <f ca="1">IFERROR(__xludf.DUMMYFUNCTION("""COMPUTED_VALUE"""),"Сальвадор")</f>
        <v>Сальвадор</v>
      </c>
      <c r="W211" s="14" t="str">
        <f ca="1">IFERROR(__xludf.DUMMYFUNCTION("""COMPUTED_VALUE"""),"El Salvador")</f>
        <v>El Salvador</v>
      </c>
      <c r="X211" s="14" t="str">
        <f ca="1">IFERROR(__xludf.DUMMYFUNCTION("""COMPUTED_VALUE"""),"Salvador")</f>
        <v>Salvador</v>
      </c>
      <c r="Y211" s="14" t="str">
        <f ca="1">IFERROR(__xludf.DUMMYFUNCTION("""COMPUTED_VALUE"""),"Salvádor")</f>
        <v>Salvádor</v>
      </c>
      <c r="Z211" s="14" t="str">
        <f ca="1">IFERROR(__xludf.DUMMYFUNCTION("""COMPUTED_VALUE"""),"เอลซัลวาดอร์")</f>
        <v>เอลซัลวาดอร์</v>
      </c>
      <c r="AA211" s="14" t="str">
        <f ca="1">IFERROR(__xludf.DUMMYFUNCTION("""COMPUTED_VALUE"""),"El Salvador")</f>
        <v>El Salvador</v>
      </c>
      <c r="AB211" s="14" t="str">
        <f ca="1">IFERROR(__xludf.DUMMYFUNCTION("""COMPUTED_VALUE"""),"EL SALVADOR")</f>
        <v>EL SALVADOR</v>
      </c>
      <c r="AC211" s="14" t="str">
        <f ca="1">IFERROR(__xludf.DUMMYFUNCTION("""COMPUTED_VALUE"""),"Сальвадор")</f>
        <v>Сальвадор</v>
      </c>
      <c r="AD211" s="14" t="str">
        <f ca="1">IFERROR(__xludf.DUMMYFUNCTION("""COMPUTED_VALUE"""),"Salvador")</f>
        <v>Salvador</v>
      </c>
      <c r="AE211" s="14" t="str">
        <f ca="1">IFERROR(__xludf.DUMMYFUNCTION("""COMPUTED_VALUE"""),"Сальвадор")</f>
        <v>Сальвадор</v>
      </c>
      <c r="AF211" s="14"/>
    </row>
    <row r="212" spans="1:32" ht="13" x14ac:dyDescent="0.15">
      <c r="A212" s="14" t="str">
        <f ca="1">IFERROR(__xludf.DUMMYFUNCTION("""COMPUTED_VALUE"""),"SX")</f>
        <v>SX</v>
      </c>
      <c r="B212" s="14" t="str">
        <f ca="1">IFERROR(__xludf.DUMMYFUNCTION("""COMPUTED_VALUE"""),"Sint Maarten (Dutch part)")</f>
        <v>Sint Maarten (Dutch part)</v>
      </c>
      <c r="C212" s="14"/>
      <c r="D212" s="14"/>
      <c r="E212" s="14" t="str">
        <f ca="1">IFERROR(__xludf.DUMMYFUNCTION("""COMPUTED_VALUE"""),"São Martinho (Países Baixos)")</f>
        <v>São Martinho (Países Baixos)</v>
      </c>
      <c r="F212" s="14"/>
      <c r="G212" s="14" t="str">
        <f ca="1">IFERROR(__xludf.DUMMYFUNCTION("""COMPUTED_VALUE"""),"Svatý Martin (nizozemská část)")</f>
        <v>Svatý Martin (nizozemská část)</v>
      </c>
      <c r="H212" s="14" t="str">
        <f ca="1">IFERROR(__xludf.DUMMYFUNCTION("""COMPUTED_VALUE"""),"Sint Maarten (niederl. Teil)")</f>
        <v>Sint Maarten (niederl. Teil)</v>
      </c>
      <c r="I212" s="14" t="str">
        <f ca="1">IFERROR(__xludf.DUMMYFUNCTION("""COMPUTED_VALUE"""),"Sint Maarten (parte neerlandesa)")</f>
        <v>Sint Maarten (parte neerlandesa)</v>
      </c>
      <c r="J212" s="14"/>
      <c r="K212" s="14" t="str">
        <f ca="1">IFERROR(__xludf.DUMMYFUNCTION("""COMPUTED_VALUE"""),"Άγιος Μαρτίνος (Ολλανδία)")</f>
        <v>Άγιος Μαρτίνος (Ολλανδία)</v>
      </c>
      <c r="L212" s="14" t="str">
        <f ca="1">IFERROR(__xludf.DUMMYFUNCTION("""COMPUTED_VALUE"""),"ΑΓΙΟΣ ΜΑΡΤΙΝΟΣ (ΟΛΛΑΝΔΙΑ)")</f>
        <v>ΑΓΙΟΣ ΜΑΡΤΙΝΟΣ (ΟΛΛΑΝΔΙΑ)</v>
      </c>
      <c r="M212" s="14"/>
      <c r="N212" s="14" t="str">
        <f ca="1">IFERROR(__xludf.DUMMYFUNCTION("""COMPUTED_VALUE"""),"Sint Maarten")</f>
        <v>Sint Maarten</v>
      </c>
      <c r="O212" s="14"/>
      <c r="P212" s="14" t="str">
        <f ca="1">IFERROR(__xludf.DUMMYFUNCTION("""COMPUTED_VALUE"""),"Sint Maarten")</f>
        <v>Sint Maarten</v>
      </c>
      <c r="Q212" s="14" t="str">
        <f ca="1">IFERROR(__xludf.DUMMYFUNCTION("""COMPUTED_VALUE"""),"신트마르턴")</f>
        <v>신트마르턴</v>
      </c>
      <c r="R212" s="14" t="str">
        <f ca="1">IFERROR(__xludf.DUMMYFUNCTION("""COMPUTED_VALUE"""),"Sint Maarten")</f>
        <v>Sint Maarten</v>
      </c>
      <c r="S212" s="14" t="str">
        <f ca="1">IFERROR(__xludf.DUMMYFUNCTION("""COMPUTED_VALUE"""),"São Martinho (Países Baixos)")</f>
        <v>São Martinho (Países Baixos)</v>
      </c>
      <c r="T212" s="14" t="str">
        <f ca="1">IFERROR(__xludf.DUMMYFUNCTION("""COMPUTED_VALUE"""),"Sint Maarten (partea olandeză)")</f>
        <v>Sint Maarten (partea olandeză)</v>
      </c>
      <c r="U212" s="14"/>
      <c r="V212" s="14" t="str">
        <f ca="1">IFERROR(__xludf.DUMMYFUNCTION("""COMPUTED_VALUE"""),"Синт-Мартен")</f>
        <v>Синт-Мартен</v>
      </c>
      <c r="W212" s="14"/>
      <c r="X212" s="14"/>
      <c r="Y212" s="14" t="str">
        <f ca="1">IFERROR(__xludf.DUMMYFUNCTION("""COMPUTED_VALUE"""),"Sint Maarten")</f>
        <v>Sint Maarten</v>
      </c>
      <c r="Z212" s="14" t="str">
        <f ca="1">IFERROR(__xludf.DUMMYFUNCTION("""COMPUTED_VALUE"""),"แม่แบบ:Country data Sint Maarten (Dutch part)")</f>
        <v>แม่แบบ:Country data Sint Maarten (Dutch part)</v>
      </c>
      <c r="AA212" s="14" t="str">
        <f ca="1">IFERROR(__xludf.DUMMYFUNCTION("""COMPUTED_VALUE"""),"Sint Maarten (Hollandalı bölüm)")</f>
        <v>Sint Maarten (Hollandalı bölüm)</v>
      </c>
      <c r="AB212" s="14" t="str">
        <f ca="1">IFERROR(__xludf.DUMMYFUNCTION("""COMPUTED_VALUE"""),"SİNT MAARTEN (HOLLANDALI BÖLÜM)")</f>
        <v>SİNT MAARTEN (HOLLANDALI BÖLÜM)</v>
      </c>
      <c r="AC212" s="14" t="str">
        <f ca="1">IFERROR(__xludf.DUMMYFUNCTION("""COMPUTED_VALUE"""),"Сінт-Мартен")</f>
        <v>Сінт-Мартен</v>
      </c>
      <c r="AD212" s="14"/>
      <c r="AE212" s="14" t="str">
        <f ca="1">IFERROR(__xludf.DUMMYFUNCTION("""COMPUTED_VALUE"""),"")</f>
        <v/>
      </c>
      <c r="AF212" s="14"/>
    </row>
    <row r="213" spans="1:32" ht="13" x14ac:dyDescent="0.15">
      <c r="A213" s="14" t="str">
        <f ca="1">IFERROR(__xludf.DUMMYFUNCTION("""COMPUTED_VALUE"""),"SY")</f>
        <v>SY</v>
      </c>
      <c r="B213" s="14" t="str">
        <f ca="1">IFERROR(__xludf.DUMMYFUNCTION("""COMPUTED_VALUE"""),"Syrian Arab Republic")</f>
        <v>Syrian Arab Republic</v>
      </c>
      <c r="C213" s="14" t="str">
        <f ca="1">IFERROR(__xludf.DUMMYFUNCTION("""COMPUTED_VALUE"""),"سوريا")</f>
        <v>سوريا</v>
      </c>
      <c r="D213" s="14" t="str">
        <f ca="1">IFERROR(__xludf.DUMMYFUNCTION("""COMPUTED_VALUE"""),"Сирия")</f>
        <v>Сирия</v>
      </c>
      <c r="E213" s="14" t="str">
        <f ca="1">IFERROR(__xludf.DUMMYFUNCTION("""COMPUTED_VALUE"""),"Síria")</f>
        <v>Síria</v>
      </c>
      <c r="F213" s="14" t="str">
        <f ca="1">IFERROR(__xludf.DUMMYFUNCTION("""COMPUTED_VALUE"""),"Сірыя")</f>
        <v>Сірыя</v>
      </c>
      <c r="G213" s="14" t="str">
        <f ca="1">IFERROR(__xludf.DUMMYFUNCTION("""COMPUTED_VALUE"""),"Sýrie")</f>
        <v>Sýrie</v>
      </c>
      <c r="H213" s="14" t="str">
        <f ca="1">IFERROR(__xludf.DUMMYFUNCTION("""COMPUTED_VALUE"""),"Syrien, Arabische Republik")</f>
        <v>Syrien, Arabische Republik</v>
      </c>
      <c r="I213" s="14" t="str">
        <f ca="1">IFERROR(__xludf.DUMMYFUNCTION("""COMPUTED_VALUE"""),"República Árabe Siria")</f>
        <v>República Árabe Siria</v>
      </c>
      <c r="J213" s="14" t="str">
        <f ca="1">IFERROR(__xludf.DUMMYFUNCTION("""COMPUTED_VALUE"""),"Syyria")</f>
        <v>Syyria</v>
      </c>
      <c r="K213" s="14" t="str">
        <f ca="1">IFERROR(__xludf.DUMMYFUNCTION("""COMPUTED_VALUE"""),"Συρία")</f>
        <v>Συρία</v>
      </c>
      <c r="L213" s="14" t="str">
        <f ca="1">IFERROR(__xludf.DUMMYFUNCTION("""COMPUTED_VALUE"""),"ΣΥΡΙΑ")</f>
        <v>ΣΥΡΙΑ</v>
      </c>
      <c r="M213" s="14" t="str">
        <f ca="1">IFERROR(__xludf.DUMMYFUNCTION("""COMPUTED_VALUE"""),"Sirija")</f>
        <v>Sirija</v>
      </c>
      <c r="N213" s="14" t="str">
        <f ca="1">IFERROR(__xludf.DUMMYFUNCTION("""COMPUTED_VALUE"""),"Szíria")</f>
        <v>Szíria</v>
      </c>
      <c r="O213" s="14" t="str">
        <f ca="1">IFERROR(__xludf.DUMMYFUNCTION("""COMPUTED_VALUE"""),"Suriah")</f>
        <v>Suriah</v>
      </c>
      <c r="P213" s="14" t="str">
        <f ca="1">IFERROR(__xludf.DUMMYFUNCTION("""COMPUTED_VALUE"""),"Siria")</f>
        <v>Siria</v>
      </c>
      <c r="Q213" s="14" t="str">
        <f ca="1">IFERROR(__xludf.DUMMYFUNCTION("""COMPUTED_VALUE"""),"시리아")</f>
        <v>시리아</v>
      </c>
      <c r="R213" s="14" t="str">
        <f ca="1">IFERROR(__xludf.DUMMYFUNCTION("""COMPUTED_VALUE"""),"Syria")</f>
        <v>Syria</v>
      </c>
      <c r="S213" s="14" t="str">
        <f ca="1">IFERROR(__xludf.DUMMYFUNCTION("""COMPUTED_VALUE"""),"Síria")</f>
        <v>Síria</v>
      </c>
      <c r="T213" s="14" t="str">
        <f ca="1">IFERROR(__xludf.DUMMYFUNCTION("""COMPUTED_VALUE"""),"Siria")</f>
        <v>Siria</v>
      </c>
      <c r="U213" s="14" t="str">
        <f ca="1">IFERROR(__xludf.DUMMYFUNCTION("""COMPUTED_VALUE"""),"Sirija")</f>
        <v>Sirija</v>
      </c>
      <c r="V213" s="14" t="str">
        <f ca="1">IFERROR(__xludf.DUMMYFUNCTION("""COMPUTED_VALUE"""),"Сирия")</f>
        <v>Сирия</v>
      </c>
      <c r="W213" s="14" t="str">
        <f ca="1">IFERROR(__xludf.DUMMYFUNCTION("""COMPUTED_VALUE"""),"Syrien")</f>
        <v>Syrien</v>
      </c>
      <c r="X213" s="14" t="str">
        <f ca="1">IFERROR(__xludf.DUMMYFUNCTION("""COMPUTED_VALUE"""),"Sirija")</f>
        <v>Sirija</v>
      </c>
      <c r="Y213" s="14" t="str">
        <f ca="1">IFERROR(__xludf.DUMMYFUNCTION("""COMPUTED_VALUE"""),"Sýria")</f>
        <v>Sýria</v>
      </c>
      <c r="Z213" s="14" t="str">
        <f ca="1">IFERROR(__xludf.DUMMYFUNCTION("""COMPUTED_VALUE"""),"ซีเรีย")</f>
        <v>ซีเรีย</v>
      </c>
      <c r="AA213" s="14" t="str">
        <f ca="1">IFERROR(__xludf.DUMMYFUNCTION("""COMPUTED_VALUE"""),"Suriye")</f>
        <v>Suriye</v>
      </c>
      <c r="AB213" s="14" t="str">
        <f ca="1">IFERROR(__xludf.DUMMYFUNCTION("""COMPUTED_VALUE"""),"SURİYE")</f>
        <v>SURİYE</v>
      </c>
      <c r="AC213" s="14" t="str">
        <f ca="1">IFERROR(__xludf.DUMMYFUNCTION("""COMPUTED_VALUE"""),"Сирія")</f>
        <v>Сирія</v>
      </c>
      <c r="AD213" s="14" t="str">
        <f ca="1">IFERROR(__xludf.DUMMYFUNCTION("""COMPUTED_VALUE"""),"Syria")</f>
        <v>Syria</v>
      </c>
      <c r="AE213" s="14" t="str">
        <f ca="1">IFERROR(__xludf.DUMMYFUNCTION("""COMPUTED_VALUE"""),"Сирия")</f>
        <v>Сирия</v>
      </c>
      <c r="AF213" s="14"/>
    </row>
    <row r="214" spans="1:32" ht="13" x14ac:dyDescent="0.15">
      <c r="A214" s="14" t="str">
        <f ca="1">IFERROR(__xludf.DUMMYFUNCTION("""COMPUTED_VALUE"""),"SZ")</f>
        <v>SZ</v>
      </c>
      <c r="B214" s="14" t="str">
        <f ca="1">IFERROR(__xludf.DUMMYFUNCTION("""COMPUTED_VALUE"""),"Swaziland")</f>
        <v>Swaziland</v>
      </c>
      <c r="C214" s="14" t="str">
        <f ca="1">IFERROR(__xludf.DUMMYFUNCTION("""COMPUTED_VALUE"""),"سوازيلاند")</f>
        <v>سوازيلاند</v>
      </c>
      <c r="D214" s="14" t="str">
        <f ca="1">IFERROR(__xludf.DUMMYFUNCTION("""COMPUTED_VALUE"""),"Свазиленд")</f>
        <v>Свазиленд</v>
      </c>
      <c r="E214" s="14" t="str">
        <f ca="1">IFERROR(__xludf.DUMMYFUNCTION("""COMPUTED_VALUE"""),"Suazilândia")</f>
        <v>Suazilândia</v>
      </c>
      <c r="F214" s="14" t="str">
        <f ca="1">IFERROR(__xludf.DUMMYFUNCTION("""COMPUTED_VALUE"""),"Свазіленд")</f>
        <v>Свазіленд</v>
      </c>
      <c r="G214" s="14" t="str">
        <f ca="1">IFERROR(__xludf.DUMMYFUNCTION("""COMPUTED_VALUE"""),"Svazijsko")</f>
        <v>Svazijsko</v>
      </c>
      <c r="H214" s="14" t="str">
        <f ca="1">IFERROR(__xludf.DUMMYFUNCTION("""COMPUTED_VALUE"""),"Swasiland")</f>
        <v>Swasiland</v>
      </c>
      <c r="I214" s="14" t="str">
        <f ca="1">IFERROR(__xludf.DUMMYFUNCTION("""COMPUTED_VALUE"""),"Swazilandia")</f>
        <v>Swazilandia</v>
      </c>
      <c r="J214" s="14" t="str">
        <f ca="1">IFERROR(__xludf.DUMMYFUNCTION("""COMPUTED_VALUE"""),"Swazimaa")</f>
        <v>Swazimaa</v>
      </c>
      <c r="K214" s="14" t="str">
        <f ca="1">IFERROR(__xludf.DUMMYFUNCTION("""COMPUTED_VALUE"""),"Σουαζιλάνδη")</f>
        <v>Σουαζιλάνδη</v>
      </c>
      <c r="L214" s="14" t="str">
        <f ca="1">IFERROR(__xludf.DUMMYFUNCTION("""COMPUTED_VALUE"""),"ΣΟΥΑΖΙΛΑΝΔΗ")</f>
        <v>ΣΟΥΑΖΙΛΑΝΔΗ</v>
      </c>
      <c r="M214" s="14" t="str">
        <f ca="1">IFERROR(__xludf.DUMMYFUNCTION("""COMPUTED_VALUE"""),"Svazi")</f>
        <v>Svazi</v>
      </c>
      <c r="N214" s="14" t="str">
        <f ca="1">IFERROR(__xludf.DUMMYFUNCTION("""COMPUTED_VALUE"""),"Szváziföld")</f>
        <v>Szváziföld</v>
      </c>
      <c r="O214" s="14" t="str">
        <f ca="1">IFERROR(__xludf.DUMMYFUNCTION("""COMPUTED_VALUE"""),"Swaziland")</f>
        <v>Swaziland</v>
      </c>
      <c r="P214" s="14" t="str">
        <f ca="1">IFERROR(__xludf.DUMMYFUNCTION("""COMPUTED_VALUE"""),"Swaziland")</f>
        <v>Swaziland</v>
      </c>
      <c r="Q214" s="14" t="str">
        <f ca="1">IFERROR(__xludf.DUMMYFUNCTION("""COMPUTED_VALUE"""),"에스와티니")</f>
        <v>에스와티니</v>
      </c>
      <c r="R214" s="14" t="str">
        <f ca="1">IFERROR(__xludf.DUMMYFUNCTION("""COMPUTED_VALUE"""),"Suazi")</f>
        <v>Suazi</v>
      </c>
      <c r="S214" s="14" t="str">
        <f ca="1">IFERROR(__xludf.DUMMYFUNCTION("""COMPUTED_VALUE"""),"Suazilândia")</f>
        <v>Suazilândia</v>
      </c>
      <c r="T214" s="14" t="str">
        <f ca="1">IFERROR(__xludf.DUMMYFUNCTION("""COMPUTED_VALUE"""),"Swaziland")</f>
        <v>Swaziland</v>
      </c>
      <c r="U214" s="14" t="str">
        <f ca="1">IFERROR(__xludf.DUMMYFUNCTION("""COMPUTED_VALUE"""),"Svazilend")</f>
        <v>Svazilend</v>
      </c>
      <c r="V214" s="14" t="str">
        <f ca="1">IFERROR(__xludf.DUMMYFUNCTION("""COMPUTED_VALUE"""),"Свазиленд")</f>
        <v>Свазиленд</v>
      </c>
      <c r="W214" s="14" t="str">
        <f ca="1">IFERROR(__xludf.DUMMYFUNCTION("""COMPUTED_VALUE"""),"Swaziland")</f>
        <v>Swaziland</v>
      </c>
      <c r="X214" s="14" t="str">
        <f ca="1">IFERROR(__xludf.DUMMYFUNCTION("""COMPUTED_VALUE"""),"Svazi")</f>
        <v>Svazi</v>
      </c>
      <c r="Y214" s="14" t="str">
        <f ca="1">IFERROR(__xludf.DUMMYFUNCTION("""COMPUTED_VALUE"""),"Svazijsko")</f>
        <v>Svazijsko</v>
      </c>
      <c r="Z214" s="14" t="str">
        <f ca="1">IFERROR(__xludf.DUMMYFUNCTION("""COMPUTED_VALUE"""),"สวาซิแลนด์")</f>
        <v>สวาซิแลนด์</v>
      </c>
      <c r="AA214" s="14" t="str">
        <f ca="1">IFERROR(__xludf.DUMMYFUNCTION("""COMPUTED_VALUE"""),"Svaziland")</f>
        <v>Svaziland</v>
      </c>
      <c r="AB214" s="14" t="str">
        <f ca="1">IFERROR(__xludf.DUMMYFUNCTION("""COMPUTED_VALUE"""),"SVAZİLAND")</f>
        <v>SVAZİLAND</v>
      </c>
      <c r="AC214" s="14" t="str">
        <f ca="1">IFERROR(__xludf.DUMMYFUNCTION("""COMPUTED_VALUE"""),"Свазіленд")</f>
        <v>Свазіленд</v>
      </c>
      <c r="AD214" s="14" t="str">
        <f ca="1">IFERROR(__xludf.DUMMYFUNCTION("""COMPUTED_VALUE"""),"Swaziland")</f>
        <v>Swaziland</v>
      </c>
      <c r="AE214" s="14" t="str">
        <f ca="1">IFERROR(__xludf.DUMMYFUNCTION("""COMPUTED_VALUE"""),"Эсватини")</f>
        <v>Эсватини</v>
      </c>
      <c r="AF214" s="14"/>
    </row>
    <row r="215" spans="1:32" ht="13" x14ac:dyDescent="0.15">
      <c r="A215" s="14" t="str">
        <f ca="1">IFERROR(__xludf.DUMMYFUNCTION("""COMPUTED_VALUE"""),"TC")</f>
        <v>TC</v>
      </c>
      <c r="B215" s="14" t="str">
        <f ca="1">IFERROR(__xludf.DUMMYFUNCTION("""COMPUTED_VALUE"""),"Turks and Caicos Islands")</f>
        <v>Turks and Caicos Islands</v>
      </c>
      <c r="C215" s="14" t="str">
        <f ca="1">IFERROR(__xludf.DUMMYFUNCTION("""COMPUTED_VALUE"""),"جزر الترك وجايكوس")</f>
        <v>جزر الترك وجايكوس</v>
      </c>
      <c r="D215" s="14" t="str">
        <f ca="1">IFERROR(__xludf.DUMMYFUNCTION("""COMPUTED_VALUE"""),"Търкс и Кайкос")</f>
        <v>Търкс и Кайкос</v>
      </c>
      <c r="E215" s="14" t="str">
        <f ca="1">IFERROR(__xludf.DUMMYFUNCTION("""COMPUTED_VALUE"""),"Turks e Caicos")</f>
        <v>Turks e Caicos</v>
      </c>
      <c r="F215" s="14" t="str">
        <f ca="1">IFERROR(__xludf.DUMMYFUNCTION("""COMPUTED_VALUE"""),"Цёркс і Кайкас")</f>
        <v>Цёркс і Кайкас</v>
      </c>
      <c r="G215" s="14" t="str">
        <f ca="1">IFERROR(__xludf.DUMMYFUNCTION("""COMPUTED_VALUE"""),"Turks a Caicos")</f>
        <v>Turks a Caicos</v>
      </c>
      <c r="H215" s="14" t="str">
        <f ca="1">IFERROR(__xludf.DUMMYFUNCTION("""COMPUTED_VALUE"""),"Turks- und Caicosinseln")</f>
        <v>Turks- und Caicosinseln</v>
      </c>
      <c r="I215" s="14" t="str">
        <f ca="1">IFERROR(__xludf.DUMMYFUNCTION("""COMPUTED_VALUE"""),"Turcas y Caicos, (las) Islas")</f>
        <v>Turcas y Caicos, (las) Islas</v>
      </c>
      <c r="J215" s="14" t="str">
        <f ca="1">IFERROR(__xludf.DUMMYFUNCTION("""COMPUTED_VALUE"""),"Turks- ja Caicossaaret")</f>
        <v>Turks- ja Caicossaaret</v>
      </c>
      <c r="K215" s="14" t="str">
        <f ca="1">IFERROR(__xludf.DUMMYFUNCTION("""COMPUTED_VALUE"""),"Τερκς και Κέικος")</f>
        <v>Τερκς και Κέικος</v>
      </c>
      <c r="L215" s="14" t="str">
        <f ca="1">IFERROR(__xludf.DUMMYFUNCTION("""COMPUTED_VALUE"""),"ΤΕΡΚΣ ΚΑΙ ΚΕΙΚΟΣ")</f>
        <v>ΤΕΡΚΣ ΚΑΙ ΚΕΙΚΟΣ</v>
      </c>
      <c r="M215" s="14" t="str">
        <f ca="1">IFERROR(__xludf.DUMMYFUNCTION("""COMPUTED_VALUE"""),"Turks i Kaikos Otoci")</f>
        <v>Turks i Kaikos Otoci</v>
      </c>
      <c r="N215" s="14" t="str">
        <f ca="1">IFERROR(__xludf.DUMMYFUNCTION("""COMPUTED_VALUE"""),"Turks- és Caicos-szigetek")</f>
        <v>Turks- és Caicos-szigetek</v>
      </c>
      <c r="O215" s="14" t="str">
        <f ca="1">IFERROR(__xludf.DUMMYFUNCTION("""COMPUTED_VALUE"""),"Turks dan Caicos, Kepulauan")</f>
        <v>Turks dan Caicos, Kepulauan</v>
      </c>
      <c r="P215" s="14" t="str">
        <f ca="1">IFERROR(__xludf.DUMMYFUNCTION("""COMPUTED_VALUE"""),"Turks e Caicos")</f>
        <v>Turks e Caicos</v>
      </c>
      <c r="Q215" s="14" t="str">
        <f ca="1">IFERROR(__xludf.DUMMYFUNCTION("""COMPUTED_VALUE"""),"터크스 케이커스 제도")</f>
        <v>터크스 케이커스 제도</v>
      </c>
      <c r="R215" s="14" t="str">
        <f ca="1">IFERROR(__xludf.DUMMYFUNCTION("""COMPUTED_VALUE"""),"Turks i Caicos")</f>
        <v>Turks i Caicos</v>
      </c>
      <c r="S215" s="14" t="str">
        <f ca="1">IFERROR(__xludf.DUMMYFUNCTION("""COMPUTED_VALUE"""),"Turks e Caicos")</f>
        <v>Turks e Caicos</v>
      </c>
      <c r="T215" s="14" t="str">
        <f ca="1">IFERROR(__xludf.DUMMYFUNCTION("""COMPUTED_VALUE"""),"Insulele Turks și Caicos")</f>
        <v>Insulele Turks și Caicos</v>
      </c>
      <c r="U215" s="14" t="str">
        <f ca="1">IFERROR(__xludf.DUMMYFUNCTION("""COMPUTED_VALUE"""),"Turks i Kajkos")</f>
        <v>Turks i Kajkos</v>
      </c>
      <c r="V215" s="14" t="str">
        <f ca="1">IFERROR(__xludf.DUMMYFUNCTION("""COMPUTED_VALUE"""),"Тёркс и Кайкос")</f>
        <v>Тёркс и Кайкос</v>
      </c>
      <c r="W215" s="14" t="str">
        <f ca="1">IFERROR(__xludf.DUMMYFUNCTION("""COMPUTED_VALUE"""),"Turks- och Caicosöarna")</f>
        <v>Turks- och Caicosöarna</v>
      </c>
      <c r="X215" s="14" t="str">
        <f ca="1">IFERROR(__xludf.DUMMYFUNCTION("""COMPUTED_VALUE"""),"otočji Turks in Caicos")</f>
        <v>otočji Turks in Caicos</v>
      </c>
      <c r="Y215" s="14" t="str">
        <f ca="1">IFERROR(__xludf.DUMMYFUNCTION("""COMPUTED_VALUE"""),"Turks a Caicos")</f>
        <v>Turks a Caicos</v>
      </c>
      <c r="Z215" s="14" t="str">
        <f ca="1">IFERROR(__xludf.DUMMYFUNCTION("""COMPUTED_VALUE"""),"หมู่เกาะเติกส์และเคคอส")</f>
        <v>หมู่เกาะเติกส์และเคคอส</v>
      </c>
      <c r="AA215" s="14" t="str">
        <f ca="1">IFERROR(__xludf.DUMMYFUNCTION("""COMPUTED_VALUE"""),"Turks ve Caicos Adaları")</f>
        <v>Turks ve Caicos Adaları</v>
      </c>
      <c r="AB215" s="14" t="str">
        <f ca="1">IFERROR(__xludf.DUMMYFUNCTION("""COMPUTED_VALUE"""),"TURKS VE CAİCOS ADALARI")</f>
        <v>TURKS VE CAİCOS ADALARI</v>
      </c>
      <c r="AC215" s="14" t="str">
        <f ca="1">IFERROR(__xludf.DUMMYFUNCTION("""COMPUTED_VALUE"""),"Острови Теркс і Кайкос")</f>
        <v>Острови Теркс і Кайкос</v>
      </c>
      <c r="AD215" s="14" t="str">
        <f ca="1">IFERROR(__xludf.DUMMYFUNCTION("""COMPUTED_VALUE"""),"Quần đảo Turks và Caicos")</f>
        <v>Quần đảo Turks và Caicos</v>
      </c>
      <c r="AE215" s="14" t="str">
        <f ca="1">IFERROR(__xludf.DUMMYFUNCTION("""COMPUTED_VALUE"""),"Туркс пен Кайкос")</f>
        <v>Туркс пен Кайкос</v>
      </c>
      <c r="AF215" s="14"/>
    </row>
    <row r="216" spans="1:32" ht="13" x14ac:dyDescent="0.15">
      <c r="A216" s="14" t="str">
        <f ca="1">IFERROR(__xludf.DUMMYFUNCTION("""COMPUTED_VALUE"""),"TD")</f>
        <v>TD</v>
      </c>
      <c r="B216" s="14" t="str">
        <f ca="1">IFERROR(__xludf.DUMMYFUNCTION("""COMPUTED_VALUE"""),"Chad")</f>
        <v>Chad</v>
      </c>
      <c r="C216" s="14" t="str">
        <f ca="1">IFERROR(__xludf.DUMMYFUNCTION("""COMPUTED_VALUE"""),"تشاد")</f>
        <v>تشاد</v>
      </c>
      <c r="D216" s="14" t="str">
        <f ca="1">IFERROR(__xludf.DUMMYFUNCTION("""COMPUTED_VALUE"""),"Чад")</f>
        <v>Чад</v>
      </c>
      <c r="E216" s="14" t="str">
        <f ca="1">IFERROR(__xludf.DUMMYFUNCTION("""COMPUTED_VALUE"""),"Chade")</f>
        <v>Chade</v>
      </c>
      <c r="F216" s="14" t="str">
        <f ca="1">IFERROR(__xludf.DUMMYFUNCTION("""COMPUTED_VALUE"""),"Чад")</f>
        <v>Чад</v>
      </c>
      <c r="G216" s="14" t="str">
        <f ca="1">IFERROR(__xludf.DUMMYFUNCTION("""COMPUTED_VALUE"""),"Čad")</f>
        <v>Čad</v>
      </c>
      <c r="H216" s="14" t="str">
        <f ca="1">IFERROR(__xludf.DUMMYFUNCTION("""COMPUTED_VALUE"""),"Tschad")</f>
        <v>Tschad</v>
      </c>
      <c r="I216" s="14" t="str">
        <f ca="1">IFERROR(__xludf.DUMMYFUNCTION("""COMPUTED_VALUE"""),"Chad")</f>
        <v>Chad</v>
      </c>
      <c r="J216" s="14" t="str">
        <f ca="1">IFERROR(__xludf.DUMMYFUNCTION("""COMPUTED_VALUE"""),"Tšad")</f>
        <v>Tšad</v>
      </c>
      <c r="K216" s="14" t="str">
        <f ca="1">IFERROR(__xludf.DUMMYFUNCTION("""COMPUTED_VALUE"""),"Τσαντ")</f>
        <v>Τσαντ</v>
      </c>
      <c r="L216" s="14" t="str">
        <f ca="1">IFERROR(__xludf.DUMMYFUNCTION("""COMPUTED_VALUE"""),"ΤΣΑΝΤ")</f>
        <v>ΤΣΑΝΤ</v>
      </c>
      <c r="M216" s="14" t="str">
        <f ca="1">IFERROR(__xludf.DUMMYFUNCTION("""COMPUTED_VALUE"""),"Čad")</f>
        <v>Čad</v>
      </c>
      <c r="N216" s="14" t="str">
        <f ca="1">IFERROR(__xludf.DUMMYFUNCTION("""COMPUTED_VALUE"""),"Csád")</f>
        <v>Csád</v>
      </c>
      <c r="O216" s="14" t="str">
        <f ca="1">IFERROR(__xludf.DUMMYFUNCTION("""COMPUTED_VALUE"""),"Chad")</f>
        <v>Chad</v>
      </c>
      <c r="P216" s="14" t="str">
        <f ca="1">IFERROR(__xludf.DUMMYFUNCTION("""COMPUTED_VALUE"""),"Ciad")</f>
        <v>Ciad</v>
      </c>
      <c r="Q216" s="14" t="str">
        <f ca="1">IFERROR(__xludf.DUMMYFUNCTION("""COMPUTED_VALUE"""),"차드")</f>
        <v>차드</v>
      </c>
      <c r="R216" s="14" t="str">
        <f ca="1">IFERROR(__xludf.DUMMYFUNCTION("""COMPUTED_VALUE"""),"Czad")</f>
        <v>Czad</v>
      </c>
      <c r="S216" s="14" t="str">
        <f ca="1">IFERROR(__xludf.DUMMYFUNCTION("""COMPUTED_VALUE"""),"Chade")</f>
        <v>Chade</v>
      </c>
      <c r="T216" s="14" t="str">
        <f ca="1">IFERROR(__xludf.DUMMYFUNCTION("""COMPUTED_VALUE"""),"Ciad")</f>
        <v>Ciad</v>
      </c>
      <c r="U216" s="14" t="str">
        <f ca="1">IFERROR(__xludf.DUMMYFUNCTION("""COMPUTED_VALUE"""),"Čad")</f>
        <v>Čad</v>
      </c>
      <c r="V216" s="14" t="str">
        <f ca="1">IFERROR(__xludf.DUMMYFUNCTION("""COMPUTED_VALUE"""),"Чад")</f>
        <v>Чад</v>
      </c>
      <c r="W216" s="14" t="str">
        <f ca="1">IFERROR(__xludf.DUMMYFUNCTION("""COMPUTED_VALUE"""),"Tchad")</f>
        <v>Tchad</v>
      </c>
      <c r="X216" s="14" t="str">
        <f ca="1">IFERROR(__xludf.DUMMYFUNCTION("""COMPUTED_VALUE"""),"Čad")</f>
        <v>Čad</v>
      </c>
      <c r="Y216" s="14" t="str">
        <f ca="1">IFERROR(__xludf.DUMMYFUNCTION("""COMPUTED_VALUE"""),"Čad")</f>
        <v>Čad</v>
      </c>
      <c r="Z216" s="14" t="str">
        <f ca="1">IFERROR(__xludf.DUMMYFUNCTION("""COMPUTED_VALUE"""),"ชาด")</f>
        <v>ชาด</v>
      </c>
      <c r="AA216" s="14" t="str">
        <f ca="1">IFERROR(__xludf.DUMMYFUNCTION("""COMPUTED_VALUE"""),"Çad")</f>
        <v>Çad</v>
      </c>
      <c r="AB216" s="14" t="str">
        <f ca="1">IFERROR(__xludf.DUMMYFUNCTION("""COMPUTED_VALUE"""),"ÇAD")</f>
        <v>ÇAD</v>
      </c>
      <c r="AC216" s="14" t="str">
        <f ca="1">IFERROR(__xludf.DUMMYFUNCTION("""COMPUTED_VALUE"""),"Чад")</f>
        <v>Чад</v>
      </c>
      <c r="AD216" s="14" t="str">
        <f ca="1">IFERROR(__xludf.DUMMYFUNCTION("""COMPUTED_VALUE"""),"Tchad")</f>
        <v>Tchad</v>
      </c>
      <c r="AE216" s="14" t="str">
        <f ca="1">IFERROR(__xludf.DUMMYFUNCTION("""COMPUTED_VALUE"""),"Чад")</f>
        <v>Чад</v>
      </c>
      <c r="AF216" s="14"/>
    </row>
    <row r="217" spans="1:32" ht="13" x14ac:dyDescent="0.15">
      <c r="A217" s="14" t="str">
        <f ca="1">IFERROR(__xludf.DUMMYFUNCTION("""COMPUTED_VALUE"""),"TF")</f>
        <v>TF</v>
      </c>
      <c r="B217" s="14" t="str">
        <f ca="1">IFERROR(__xludf.DUMMYFUNCTION("""COMPUTED_VALUE"""),"French Southern Territories")</f>
        <v>French Southern Territories</v>
      </c>
      <c r="C217" s="14" t="str">
        <f ca="1">IFERROR(__xludf.DUMMYFUNCTION("""COMPUTED_VALUE"""),"المقاطعات الجنوبية الفرنسية")</f>
        <v>المقاطعات الجنوبية الفرنسية</v>
      </c>
      <c r="D217" s="14" t="str">
        <f ca="1">IFERROR(__xludf.DUMMYFUNCTION("""COMPUTED_VALUE"""),"Френски южни и антарктически територии")</f>
        <v>Френски южни и антарктически територии</v>
      </c>
      <c r="E217" s="14" t="str">
        <f ca="1">IFERROR(__xludf.DUMMYFUNCTION("""COMPUTED_VALUE"""),"Terras Austrais e Antárticas Francesas (TAAF)")</f>
        <v>Terras Austrais e Antárticas Francesas (TAAF)</v>
      </c>
      <c r="F217" s="14" t="str">
        <f ca="1">IFERROR(__xludf.DUMMYFUNCTION("""COMPUTED_VALUE"""),"Французскія Паўднёвыя і Антарктычныя Тэрыторыі")</f>
        <v>Французскія Паўднёвыя і Антарктычныя Тэрыторыі</v>
      </c>
      <c r="G217" s="14" t="str">
        <f ca="1">IFERROR(__xludf.DUMMYFUNCTION("""COMPUTED_VALUE"""),"Francouzská jižní a antarktická území")</f>
        <v>Francouzská jižní a antarktická území</v>
      </c>
      <c r="H217" s="14" t="str">
        <f ca="1">IFERROR(__xludf.DUMMYFUNCTION("""COMPUTED_VALUE"""),"Französische Süd- und Antarktisgebiete")</f>
        <v>Französische Süd- und Antarktisgebiete</v>
      </c>
      <c r="I217" s="14" t="str">
        <f ca="1">IFERROR(__xludf.DUMMYFUNCTION("""COMPUTED_VALUE"""),"Tierras Australes Francesas (las)")</f>
        <v>Tierras Australes Francesas (las)</v>
      </c>
      <c r="J217" s="14" t="str">
        <f ca="1">IFERROR(__xludf.DUMMYFUNCTION("""COMPUTED_VALUE"""),"Ranskan eteläiset alueet")</f>
        <v>Ranskan eteläiset alueet</v>
      </c>
      <c r="K217" s="14" t="str">
        <f ca="1">IFERROR(__xludf.DUMMYFUNCTION("""COMPUTED_VALUE"""),"Γαλλικά Νότια και Ανταρκτικά Εδάφη")</f>
        <v>Γαλλικά Νότια και Ανταρκτικά Εδάφη</v>
      </c>
      <c r="L217" s="14" t="str">
        <f ca="1">IFERROR(__xludf.DUMMYFUNCTION("""COMPUTED_VALUE"""),"ΓΑΛΛΙΚΑ ΝΟΤΙΑ ΚΑΙ ΑΝΤΑΡΚΤΙΚΑ ΕΔΑΦΗ")</f>
        <v>ΓΑΛΛΙΚΑ ΝΟΤΙΑ ΚΑΙ ΑΝΤΑΡΚΤΙΚΑ ΕΔΑΦΗ</v>
      </c>
      <c r="M217" s="14" t="str">
        <f ca="1">IFERROR(__xludf.DUMMYFUNCTION("""COMPUTED_VALUE"""),"Francuski južni teritoriji")</f>
        <v>Francuski južni teritoriji</v>
      </c>
      <c r="N217" s="14" t="str">
        <f ca="1">IFERROR(__xludf.DUMMYFUNCTION("""COMPUTED_VALUE"""),"Francia déli és antarktiszi területek")</f>
        <v>Francia déli és antarktiszi területek</v>
      </c>
      <c r="O217" s="14" t="str">
        <f ca="1">IFERROR(__xludf.DUMMYFUNCTION("""COMPUTED_VALUE"""),"Perancis Selatan, Teritori")</f>
        <v>Perancis Selatan, Teritori</v>
      </c>
      <c r="P217" s="14" t="str">
        <f ca="1">IFERROR(__xludf.DUMMYFUNCTION("""COMPUTED_VALUE"""),"Terre australi e antartiche francesi")</f>
        <v>Terre australi e antartiche francesi</v>
      </c>
      <c r="Q217" s="14" t="str">
        <f ca="1">IFERROR(__xludf.DUMMYFUNCTION("""COMPUTED_VALUE"""),"프랑스령 남방 및 남극")</f>
        <v>프랑스령 남방 및 남극</v>
      </c>
      <c r="R217" s="14" t="str">
        <f ca="1">IFERROR(__xludf.DUMMYFUNCTION("""COMPUTED_VALUE"""),"Francuskie Terytoria Południowe i Antarktyczne")</f>
        <v>Francuskie Terytoria Południowe i Antarktyczne</v>
      </c>
      <c r="S217" s="14" t="str">
        <f ca="1">IFERROR(__xludf.DUMMYFUNCTION("""COMPUTED_VALUE"""),"Terras Austrais e Antárticas Francesas (TAAF)")</f>
        <v>Terras Austrais e Antárticas Francesas (TAAF)</v>
      </c>
      <c r="T217" s="14" t="str">
        <f ca="1">IFERROR(__xludf.DUMMYFUNCTION("""COMPUTED_VALUE"""),"Teritoriile australe și antarctice franceze")</f>
        <v>Teritoriile australe și antarctice franceze</v>
      </c>
      <c r="U217" s="14" t="str">
        <f ca="1">IFERROR(__xludf.DUMMYFUNCTION("""COMPUTED_VALUE"""),"Francuske južne i antarktičke zemlje")</f>
        <v>Francuske južne i antarktičke zemlje</v>
      </c>
      <c r="V217" s="14" t="str">
        <f ca="1">IFERROR(__xludf.DUMMYFUNCTION("""COMPUTED_VALUE"""),"Французские Южные и Антарктические Территории")</f>
        <v>Французские Южные и Антарктические Территории</v>
      </c>
      <c r="W217" s="14" t="str">
        <f ca="1">IFERROR(__xludf.DUMMYFUNCTION("""COMPUTED_VALUE"""),"Franska södra territorierna")</f>
        <v>Franska södra territorierna</v>
      </c>
      <c r="X217" s="14" t="str">
        <f ca="1">IFERROR(__xludf.DUMMYFUNCTION("""COMPUTED_VALUE"""),"Francoska južna ozemlja")</f>
        <v>Francoska južna ozemlja</v>
      </c>
      <c r="Y217" s="14" t="str">
        <f ca="1">IFERROR(__xludf.DUMMYFUNCTION("""COMPUTED_VALUE"""),"Francúzske južné územia")</f>
        <v>Francúzske južné územia</v>
      </c>
      <c r="Z217" s="14" t="str">
        <f ca="1">IFERROR(__xludf.DUMMYFUNCTION("""COMPUTED_VALUE"""),"เฟรนช์เซาเทิร์นและแอนตาร์กติกแลนดส์")</f>
        <v>เฟรนช์เซาเทิร์นและแอนตาร์กติกแลนดส์</v>
      </c>
      <c r="AA217" s="14" t="str">
        <f ca="1">IFERROR(__xludf.DUMMYFUNCTION("""COMPUTED_VALUE"""),"Fransız Güney Bölgesi")</f>
        <v>Fransız Güney Bölgesi</v>
      </c>
      <c r="AB217" s="14" t="str">
        <f ca="1">IFERROR(__xludf.DUMMYFUNCTION("""COMPUTED_VALUE"""),"FRANSIZ GÜNEY BÖLGESI")</f>
        <v>FRANSIZ GÜNEY BÖLGESI</v>
      </c>
      <c r="AC217" s="14" t="str">
        <f ca="1">IFERROR(__xludf.DUMMYFUNCTION("""COMPUTED_VALUE"""),"Французькі Південні і Антарктичні Території")</f>
        <v>Французькі Південні і Антарктичні Території</v>
      </c>
      <c r="AD217" s="14" t="str">
        <f ca="1">IFERROR(__xludf.DUMMYFUNCTION("""COMPUTED_VALUE"""),"Vùng đất phía Nam và châu Nam Cực thuộc Pháp")</f>
        <v>Vùng đất phía Nam và châu Nam Cực thuộc Pháp</v>
      </c>
      <c r="AE217" s="14" t="str">
        <f ca="1">IFERROR(__xludf.DUMMYFUNCTION("""COMPUTED_VALUE"""),"Францияның оңтүстік және Антарктикалық аймақтары")</f>
        <v>Францияның оңтүстік және Антарктикалық аймақтары</v>
      </c>
      <c r="AF217" s="14"/>
    </row>
    <row r="218" spans="1:32" ht="13" x14ac:dyDescent="0.15">
      <c r="A218" s="14" t="str">
        <f ca="1">IFERROR(__xludf.DUMMYFUNCTION("""COMPUTED_VALUE"""),"TG")</f>
        <v>TG</v>
      </c>
      <c r="B218" s="14" t="str">
        <f ca="1">IFERROR(__xludf.DUMMYFUNCTION("""COMPUTED_VALUE"""),"Togo")</f>
        <v>Togo</v>
      </c>
      <c r="C218" s="14" t="str">
        <f ca="1">IFERROR(__xludf.DUMMYFUNCTION("""COMPUTED_VALUE"""),"توجو")</f>
        <v>توجو</v>
      </c>
      <c r="D218" s="14" t="str">
        <f ca="1">IFERROR(__xludf.DUMMYFUNCTION("""COMPUTED_VALUE"""),"Того")</f>
        <v>Того</v>
      </c>
      <c r="E218" s="14" t="str">
        <f ca="1">IFERROR(__xludf.DUMMYFUNCTION("""COMPUTED_VALUE"""),"Togo")</f>
        <v>Togo</v>
      </c>
      <c r="F218" s="14" t="str">
        <f ca="1">IFERROR(__xludf.DUMMYFUNCTION("""COMPUTED_VALUE"""),"Тога")</f>
        <v>Тога</v>
      </c>
      <c r="G218" s="14" t="str">
        <f ca="1">IFERROR(__xludf.DUMMYFUNCTION("""COMPUTED_VALUE"""),"Togo")</f>
        <v>Togo</v>
      </c>
      <c r="H218" s="14" t="str">
        <f ca="1">IFERROR(__xludf.DUMMYFUNCTION("""COMPUTED_VALUE"""),"Togo")</f>
        <v>Togo</v>
      </c>
      <c r="I218" s="14" t="str">
        <f ca="1">IFERROR(__xludf.DUMMYFUNCTION("""COMPUTED_VALUE"""),"Togo")</f>
        <v>Togo</v>
      </c>
      <c r="J218" s="14" t="str">
        <f ca="1">IFERROR(__xludf.DUMMYFUNCTION("""COMPUTED_VALUE"""),"Togo")</f>
        <v>Togo</v>
      </c>
      <c r="K218" s="14" t="str">
        <f ca="1">IFERROR(__xludf.DUMMYFUNCTION("""COMPUTED_VALUE"""),"Τόγκο")</f>
        <v>Τόγκο</v>
      </c>
      <c r="L218" s="14" t="str">
        <f ca="1">IFERROR(__xludf.DUMMYFUNCTION("""COMPUTED_VALUE"""),"ΤΟΓΚΟ")</f>
        <v>ΤΟΓΚΟ</v>
      </c>
      <c r="M218" s="14" t="str">
        <f ca="1">IFERROR(__xludf.DUMMYFUNCTION("""COMPUTED_VALUE"""),"Togo")</f>
        <v>Togo</v>
      </c>
      <c r="N218" s="14" t="str">
        <f ca="1">IFERROR(__xludf.DUMMYFUNCTION("""COMPUTED_VALUE"""),"Togo")</f>
        <v>Togo</v>
      </c>
      <c r="O218" s="14" t="str">
        <f ca="1">IFERROR(__xludf.DUMMYFUNCTION("""COMPUTED_VALUE"""),"Togo")</f>
        <v>Togo</v>
      </c>
      <c r="P218" s="14" t="str">
        <f ca="1">IFERROR(__xludf.DUMMYFUNCTION("""COMPUTED_VALUE"""),"Togo")</f>
        <v>Togo</v>
      </c>
      <c r="Q218" s="14" t="str">
        <f ca="1">IFERROR(__xludf.DUMMYFUNCTION("""COMPUTED_VALUE"""),"토고")</f>
        <v>토고</v>
      </c>
      <c r="R218" s="14" t="str">
        <f ca="1">IFERROR(__xludf.DUMMYFUNCTION("""COMPUTED_VALUE"""),"Togo")</f>
        <v>Togo</v>
      </c>
      <c r="S218" s="14" t="str">
        <f ca="1">IFERROR(__xludf.DUMMYFUNCTION("""COMPUTED_VALUE"""),"Togo")</f>
        <v>Togo</v>
      </c>
      <c r="T218" s="14" t="str">
        <f ca="1">IFERROR(__xludf.DUMMYFUNCTION("""COMPUTED_VALUE"""),"Togo")</f>
        <v>Togo</v>
      </c>
      <c r="U218" s="14" t="str">
        <f ca="1">IFERROR(__xludf.DUMMYFUNCTION("""COMPUTED_VALUE"""),"Togo")</f>
        <v>Togo</v>
      </c>
      <c r="V218" s="14" t="str">
        <f ca="1">IFERROR(__xludf.DUMMYFUNCTION("""COMPUTED_VALUE"""),"Того")</f>
        <v>Того</v>
      </c>
      <c r="W218" s="14" t="str">
        <f ca="1">IFERROR(__xludf.DUMMYFUNCTION("""COMPUTED_VALUE"""),"Togo")</f>
        <v>Togo</v>
      </c>
      <c r="X218" s="14" t="str">
        <f ca="1">IFERROR(__xludf.DUMMYFUNCTION("""COMPUTED_VALUE"""),"Togo")</f>
        <v>Togo</v>
      </c>
      <c r="Y218" s="14" t="str">
        <f ca="1">IFERROR(__xludf.DUMMYFUNCTION("""COMPUTED_VALUE"""),"Togo")</f>
        <v>Togo</v>
      </c>
      <c r="Z218" s="14" t="str">
        <f ca="1">IFERROR(__xludf.DUMMYFUNCTION("""COMPUTED_VALUE"""),"โตโก")</f>
        <v>โตโก</v>
      </c>
      <c r="AA218" s="14" t="str">
        <f ca="1">IFERROR(__xludf.DUMMYFUNCTION("""COMPUTED_VALUE"""),"Togo")</f>
        <v>Togo</v>
      </c>
      <c r="AB218" s="14" t="str">
        <f ca="1">IFERROR(__xludf.DUMMYFUNCTION("""COMPUTED_VALUE"""),"TOGO")</f>
        <v>TOGO</v>
      </c>
      <c r="AC218" s="14" t="str">
        <f ca="1">IFERROR(__xludf.DUMMYFUNCTION("""COMPUTED_VALUE"""),"Того")</f>
        <v>Того</v>
      </c>
      <c r="AD218" s="14" t="str">
        <f ca="1">IFERROR(__xludf.DUMMYFUNCTION("""COMPUTED_VALUE"""),"Togo")</f>
        <v>Togo</v>
      </c>
      <c r="AE218" s="14" t="str">
        <f ca="1">IFERROR(__xludf.DUMMYFUNCTION("""COMPUTED_VALUE"""),"Того")</f>
        <v>Того</v>
      </c>
      <c r="AF218" s="14"/>
    </row>
    <row r="219" spans="1:32" ht="13" x14ac:dyDescent="0.15">
      <c r="A219" s="14" t="str">
        <f ca="1">IFERROR(__xludf.DUMMYFUNCTION("""COMPUTED_VALUE"""),"TH")</f>
        <v>TH</v>
      </c>
      <c r="B219" s="14" t="str">
        <f ca="1">IFERROR(__xludf.DUMMYFUNCTION("""COMPUTED_VALUE"""),"Thailand")</f>
        <v>Thailand</v>
      </c>
      <c r="C219" s="14" t="str">
        <f ca="1">IFERROR(__xludf.DUMMYFUNCTION("""COMPUTED_VALUE"""),"تايلند")</f>
        <v>تايلند</v>
      </c>
      <c r="D219" s="14" t="str">
        <f ca="1">IFERROR(__xludf.DUMMYFUNCTION("""COMPUTED_VALUE"""),"Тайланд")</f>
        <v>Тайланд</v>
      </c>
      <c r="E219" s="14" t="str">
        <f ca="1">IFERROR(__xludf.DUMMYFUNCTION("""COMPUTED_VALUE"""),"Tailândia")</f>
        <v>Tailândia</v>
      </c>
      <c r="F219" s="14" t="str">
        <f ca="1">IFERROR(__xludf.DUMMYFUNCTION("""COMPUTED_VALUE"""),"Тайланд")</f>
        <v>Тайланд</v>
      </c>
      <c r="G219" s="14" t="str">
        <f ca="1">IFERROR(__xludf.DUMMYFUNCTION("""COMPUTED_VALUE"""),"Thajsko")</f>
        <v>Thajsko</v>
      </c>
      <c r="H219" s="14" t="str">
        <f ca="1">IFERROR(__xludf.DUMMYFUNCTION("""COMPUTED_VALUE"""),"Thailand")</f>
        <v>Thailand</v>
      </c>
      <c r="I219" s="14" t="str">
        <f ca="1">IFERROR(__xludf.DUMMYFUNCTION("""COMPUTED_VALUE"""),"Tailandia")</f>
        <v>Tailandia</v>
      </c>
      <c r="J219" s="14" t="str">
        <f ca="1">IFERROR(__xludf.DUMMYFUNCTION("""COMPUTED_VALUE"""),"Thaimaa")</f>
        <v>Thaimaa</v>
      </c>
      <c r="K219" s="14" t="str">
        <f ca="1">IFERROR(__xludf.DUMMYFUNCTION("""COMPUTED_VALUE"""),"Ταϊλάνδη")</f>
        <v>Ταϊλάνδη</v>
      </c>
      <c r="L219" s="14" t="str">
        <f ca="1">IFERROR(__xludf.DUMMYFUNCTION("""COMPUTED_VALUE"""),"ΤΑΪΛΑΝΔΗ")</f>
        <v>ΤΑΪΛΑΝΔΗ</v>
      </c>
      <c r="M219" s="14" t="str">
        <f ca="1">IFERROR(__xludf.DUMMYFUNCTION("""COMPUTED_VALUE"""),"Tajland")</f>
        <v>Tajland</v>
      </c>
      <c r="N219" s="14" t="str">
        <f ca="1">IFERROR(__xludf.DUMMYFUNCTION("""COMPUTED_VALUE"""),"Thaiföld")</f>
        <v>Thaiföld</v>
      </c>
      <c r="O219" s="14" t="str">
        <f ca="1">IFERROR(__xludf.DUMMYFUNCTION("""COMPUTED_VALUE"""),"Thailand")</f>
        <v>Thailand</v>
      </c>
      <c r="P219" s="14" t="str">
        <f ca="1">IFERROR(__xludf.DUMMYFUNCTION("""COMPUTED_VALUE"""),"Thailandia")</f>
        <v>Thailandia</v>
      </c>
      <c r="Q219" s="14" t="str">
        <f ca="1">IFERROR(__xludf.DUMMYFUNCTION("""COMPUTED_VALUE"""),"태국")</f>
        <v>태국</v>
      </c>
      <c r="R219" s="14" t="str">
        <f ca="1">IFERROR(__xludf.DUMMYFUNCTION("""COMPUTED_VALUE"""),"Tajlandia")</f>
        <v>Tajlandia</v>
      </c>
      <c r="S219" s="14" t="str">
        <f ca="1">IFERROR(__xludf.DUMMYFUNCTION("""COMPUTED_VALUE"""),"Tailândia")</f>
        <v>Tailândia</v>
      </c>
      <c r="T219" s="14" t="str">
        <f ca="1">IFERROR(__xludf.DUMMYFUNCTION("""COMPUTED_VALUE"""),"Thailanda")</f>
        <v>Thailanda</v>
      </c>
      <c r="U219" s="14" t="str">
        <f ca="1">IFERROR(__xludf.DUMMYFUNCTION("""COMPUTED_VALUE"""),"Tajland")</f>
        <v>Tajland</v>
      </c>
      <c r="V219" s="14" t="str">
        <f ca="1">IFERROR(__xludf.DUMMYFUNCTION("""COMPUTED_VALUE"""),"Таиланд")</f>
        <v>Таиланд</v>
      </c>
      <c r="W219" s="14" t="str">
        <f ca="1">IFERROR(__xludf.DUMMYFUNCTION("""COMPUTED_VALUE"""),"Thailand")</f>
        <v>Thailand</v>
      </c>
      <c r="X219" s="14" t="str">
        <f ca="1">IFERROR(__xludf.DUMMYFUNCTION("""COMPUTED_VALUE"""),"Tajska")</f>
        <v>Tajska</v>
      </c>
      <c r="Y219" s="14" t="str">
        <f ca="1">IFERROR(__xludf.DUMMYFUNCTION("""COMPUTED_VALUE"""),"Thajsko")</f>
        <v>Thajsko</v>
      </c>
      <c r="Z219" s="14" t="str">
        <f ca="1">IFERROR(__xludf.DUMMYFUNCTION("""COMPUTED_VALUE"""),"ประเทศไทย")</f>
        <v>ประเทศไทย</v>
      </c>
      <c r="AA219" s="14" t="str">
        <f ca="1">IFERROR(__xludf.DUMMYFUNCTION("""COMPUTED_VALUE"""),"Tayland")</f>
        <v>Tayland</v>
      </c>
      <c r="AB219" s="14" t="str">
        <f ca="1">IFERROR(__xludf.DUMMYFUNCTION("""COMPUTED_VALUE"""),"TAYLAND")</f>
        <v>TAYLAND</v>
      </c>
      <c r="AC219" s="14" t="str">
        <f ca="1">IFERROR(__xludf.DUMMYFUNCTION("""COMPUTED_VALUE"""),"Таїланд")</f>
        <v>Таїланд</v>
      </c>
      <c r="AD219" s="14" t="str">
        <f ca="1">IFERROR(__xludf.DUMMYFUNCTION("""COMPUTED_VALUE"""),"Thái Lan")</f>
        <v>Thái Lan</v>
      </c>
      <c r="AE219" s="14" t="str">
        <f ca="1">IFERROR(__xludf.DUMMYFUNCTION("""COMPUTED_VALUE"""),"Тайланд")</f>
        <v>Тайланд</v>
      </c>
      <c r="AF219" s="14"/>
    </row>
    <row r="220" spans="1:32" ht="13" x14ac:dyDescent="0.15">
      <c r="A220" s="14" t="str">
        <f ca="1">IFERROR(__xludf.DUMMYFUNCTION("""COMPUTED_VALUE"""),"TJ")</f>
        <v>TJ</v>
      </c>
      <c r="B220" s="14" t="str">
        <f ca="1">IFERROR(__xludf.DUMMYFUNCTION("""COMPUTED_VALUE"""),"Tajikistan")</f>
        <v>Tajikistan</v>
      </c>
      <c r="C220" s="14" t="str">
        <f ca="1">IFERROR(__xludf.DUMMYFUNCTION("""COMPUTED_VALUE"""),"طاجكستان")</f>
        <v>طاجكستان</v>
      </c>
      <c r="D220" s="14" t="str">
        <f ca="1">IFERROR(__xludf.DUMMYFUNCTION("""COMPUTED_VALUE"""),"Таджикистан")</f>
        <v>Таджикистан</v>
      </c>
      <c r="E220" s="14" t="str">
        <f ca="1">IFERROR(__xludf.DUMMYFUNCTION("""COMPUTED_VALUE"""),"Tajiquistão")</f>
        <v>Tajiquistão</v>
      </c>
      <c r="F220" s="14" t="str">
        <f ca="1">IFERROR(__xludf.DUMMYFUNCTION("""COMPUTED_VALUE"""),"Таджыкістан")</f>
        <v>Таджыкістан</v>
      </c>
      <c r="G220" s="14" t="str">
        <f ca="1">IFERROR(__xludf.DUMMYFUNCTION("""COMPUTED_VALUE"""),"Tádžikistán")</f>
        <v>Tádžikistán</v>
      </c>
      <c r="H220" s="14" t="str">
        <f ca="1">IFERROR(__xludf.DUMMYFUNCTION("""COMPUTED_VALUE"""),"Tadschikistan")</f>
        <v>Tadschikistan</v>
      </c>
      <c r="I220" s="14" t="str">
        <f ca="1">IFERROR(__xludf.DUMMYFUNCTION("""COMPUTED_VALUE"""),"Tayikistán")</f>
        <v>Tayikistán</v>
      </c>
      <c r="J220" s="14" t="str">
        <f ca="1">IFERROR(__xludf.DUMMYFUNCTION("""COMPUTED_VALUE"""),"Tadžikistan")</f>
        <v>Tadžikistan</v>
      </c>
      <c r="K220" s="14" t="str">
        <f ca="1">IFERROR(__xludf.DUMMYFUNCTION("""COMPUTED_VALUE"""),"Τατζικιστάν")</f>
        <v>Τατζικιστάν</v>
      </c>
      <c r="L220" s="14" t="str">
        <f ca="1">IFERROR(__xludf.DUMMYFUNCTION("""COMPUTED_VALUE"""),"ΤΑΤΖΙΚΙΣΤΑΝ")</f>
        <v>ΤΑΤΖΙΚΙΣΤΑΝ</v>
      </c>
      <c r="M220" s="14" t="str">
        <f ca="1">IFERROR(__xludf.DUMMYFUNCTION("""COMPUTED_VALUE"""),"Tadžikistan")</f>
        <v>Tadžikistan</v>
      </c>
      <c r="N220" s="14" t="str">
        <f ca="1">IFERROR(__xludf.DUMMYFUNCTION("""COMPUTED_VALUE"""),"Tádzsikisztán")</f>
        <v>Tádzsikisztán</v>
      </c>
      <c r="O220" s="14" t="str">
        <f ca="1">IFERROR(__xludf.DUMMYFUNCTION("""COMPUTED_VALUE"""),"Tajikistan")</f>
        <v>Tajikistan</v>
      </c>
      <c r="P220" s="14" t="str">
        <f ca="1">IFERROR(__xludf.DUMMYFUNCTION("""COMPUTED_VALUE"""),"Tagikistan")</f>
        <v>Tagikistan</v>
      </c>
      <c r="Q220" s="14" t="str">
        <f ca="1">IFERROR(__xludf.DUMMYFUNCTION("""COMPUTED_VALUE"""),"타지키스탄")</f>
        <v>타지키스탄</v>
      </c>
      <c r="R220" s="14" t="str">
        <f ca="1">IFERROR(__xludf.DUMMYFUNCTION("""COMPUTED_VALUE"""),"Tadżykistan")</f>
        <v>Tadżykistan</v>
      </c>
      <c r="S220" s="14" t="str">
        <f ca="1">IFERROR(__xludf.DUMMYFUNCTION("""COMPUTED_VALUE"""),"Tajiquistão")</f>
        <v>Tajiquistão</v>
      </c>
      <c r="T220" s="14" t="str">
        <f ca="1">IFERROR(__xludf.DUMMYFUNCTION("""COMPUTED_VALUE"""),"Tadjikistan")</f>
        <v>Tadjikistan</v>
      </c>
      <c r="U220" s="14" t="str">
        <f ca="1">IFERROR(__xludf.DUMMYFUNCTION("""COMPUTED_VALUE"""),"Tadžikistan")</f>
        <v>Tadžikistan</v>
      </c>
      <c r="V220" s="14" t="str">
        <f ca="1">IFERROR(__xludf.DUMMYFUNCTION("""COMPUTED_VALUE"""),"Таджикистан")</f>
        <v>Таджикистан</v>
      </c>
      <c r="W220" s="14" t="str">
        <f ca="1">IFERROR(__xludf.DUMMYFUNCTION("""COMPUTED_VALUE"""),"Tadzjikistan")</f>
        <v>Tadzjikistan</v>
      </c>
      <c r="X220" s="14" t="str">
        <f ca="1">IFERROR(__xludf.DUMMYFUNCTION("""COMPUTED_VALUE"""),"Tadžikistan")</f>
        <v>Tadžikistan</v>
      </c>
      <c r="Y220" s="14" t="str">
        <f ca="1">IFERROR(__xludf.DUMMYFUNCTION("""COMPUTED_VALUE"""),"Tadžikistan")</f>
        <v>Tadžikistan</v>
      </c>
      <c r="Z220" s="14" t="str">
        <f ca="1">IFERROR(__xludf.DUMMYFUNCTION("""COMPUTED_VALUE"""),"ทาจิกิสถาน")</f>
        <v>ทาจิกิสถาน</v>
      </c>
      <c r="AA220" s="14" t="str">
        <f ca="1">IFERROR(__xludf.DUMMYFUNCTION("""COMPUTED_VALUE"""),"Tacikistan")</f>
        <v>Tacikistan</v>
      </c>
      <c r="AB220" s="14" t="str">
        <f ca="1">IFERROR(__xludf.DUMMYFUNCTION("""COMPUTED_VALUE"""),"TACİKİSTAN")</f>
        <v>TACİKİSTAN</v>
      </c>
      <c r="AC220" s="14" t="str">
        <f ca="1">IFERROR(__xludf.DUMMYFUNCTION("""COMPUTED_VALUE"""),"Таджикистан")</f>
        <v>Таджикистан</v>
      </c>
      <c r="AD220" s="14" t="str">
        <f ca="1">IFERROR(__xludf.DUMMYFUNCTION("""COMPUTED_VALUE"""),"Tajikistan")</f>
        <v>Tajikistan</v>
      </c>
      <c r="AE220" s="14" t="str">
        <f ca="1">IFERROR(__xludf.DUMMYFUNCTION("""COMPUTED_VALUE"""),"Тәжікстан")</f>
        <v>Тәжікстан</v>
      </c>
      <c r="AF220" s="14"/>
    </row>
    <row r="221" spans="1:32" ht="13" x14ac:dyDescent="0.15">
      <c r="A221" s="14" t="str">
        <f ca="1">IFERROR(__xludf.DUMMYFUNCTION("""COMPUTED_VALUE"""),"TK")</f>
        <v>TK</v>
      </c>
      <c r="B221" s="14" t="str">
        <f ca="1">IFERROR(__xludf.DUMMYFUNCTION("""COMPUTED_VALUE"""),"Tokelau")</f>
        <v>Tokelau</v>
      </c>
      <c r="C221" s="14" t="str">
        <f ca="1">IFERROR(__xludf.DUMMYFUNCTION("""COMPUTED_VALUE"""),"توكيلو")</f>
        <v>توكيلو</v>
      </c>
      <c r="D221" s="14" t="str">
        <f ca="1">IFERROR(__xludf.DUMMYFUNCTION("""COMPUTED_VALUE"""),"Токелау")</f>
        <v>Токелау</v>
      </c>
      <c r="E221" s="14" t="str">
        <f ca="1">IFERROR(__xludf.DUMMYFUNCTION("""COMPUTED_VALUE"""),"Toquelau")</f>
        <v>Toquelau</v>
      </c>
      <c r="F221" s="14" t="str">
        <f ca="1">IFERROR(__xludf.DUMMYFUNCTION("""COMPUTED_VALUE"""),"Такелау")</f>
        <v>Такелау</v>
      </c>
      <c r="G221" s="14" t="str">
        <f ca="1">IFERROR(__xludf.DUMMYFUNCTION("""COMPUTED_VALUE"""),"Tokelau")</f>
        <v>Tokelau</v>
      </c>
      <c r="H221" s="14" t="str">
        <f ca="1">IFERROR(__xludf.DUMMYFUNCTION("""COMPUTED_VALUE"""),"Tokelau")</f>
        <v>Tokelau</v>
      </c>
      <c r="I221" s="14" t="str">
        <f ca="1">IFERROR(__xludf.DUMMYFUNCTION("""COMPUTED_VALUE"""),"Tokelau")</f>
        <v>Tokelau</v>
      </c>
      <c r="J221" s="14" t="str">
        <f ca="1">IFERROR(__xludf.DUMMYFUNCTION("""COMPUTED_VALUE"""),"Tokelau")</f>
        <v>Tokelau</v>
      </c>
      <c r="K221" s="14" t="str">
        <f ca="1">IFERROR(__xludf.DUMMYFUNCTION("""COMPUTED_VALUE"""),"Τοκελάου")</f>
        <v>Τοκελάου</v>
      </c>
      <c r="L221" s="14" t="str">
        <f ca="1">IFERROR(__xludf.DUMMYFUNCTION("""COMPUTED_VALUE"""),"ΤΟΚΕΛΑΟΥ")</f>
        <v>ΤΟΚΕΛΑΟΥ</v>
      </c>
      <c r="M221" s="14" t="str">
        <f ca="1">IFERROR(__xludf.DUMMYFUNCTION("""COMPUTED_VALUE"""),"Tokelau")</f>
        <v>Tokelau</v>
      </c>
      <c r="N221" s="14" t="str">
        <f ca="1">IFERROR(__xludf.DUMMYFUNCTION("""COMPUTED_VALUE"""),"Tokelau-szigetek")</f>
        <v>Tokelau-szigetek</v>
      </c>
      <c r="O221" s="14" t="str">
        <f ca="1">IFERROR(__xludf.DUMMYFUNCTION("""COMPUTED_VALUE"""),"Tokelau")</f>
        <v>Tokelau</v>
      </c>
      <c r="P221" s="14" t="str">
        <f ca="1">IFERROR(__xludf.DUMMYFUNCTION("""COMPUTED_VALUE"""),"Tokelau")</f>
        <v>Tokelau</v>
      </c>
      <c r="Q221" s="14" t="str">
        <f ca="1">IFERROR(__xludf.DUMMYFUNCTION("""COMPUTED_VALUE"""),"토켈라우")</f>
        <v>토켈라우</v>
      </c>
      <c r="R221" s="14" t="str">
        <f ca="1">IFERROR(__xludf.DUMMYFUNCTION("""COMPUTED_VALUE"""),"Tokelau")</f>
        <v>Tokelau</v>
      </c>
      <c r="S221" s="14" t="str">
        <f ca="1">IFERROR(__xludf.DUMMYFUNCTION("""COMPUTED_VALUE"""),"Toquelau")</f>
        <v>Toquelau</v>
      </c>
      <c r="T221" s="14" t="str">
        <f ca="1">IFERROR(__xludf.DUMMYFUNCTION("""COMPUTED_VALUE"""),"Tokelau")</f>
        <v>Tokelau</v>
      </c>
      <c r="U221" s="14" t="str">
        <f ca="1">IFERROR(__xludf.DUMMYFUNCTION("""COMPUTED_VALUE"""),"Tokelau")</f>
        <v>Tokelau</v>
      </c>
      <c r="V221" s="14" t="str">
        <f ca="1">IFERROR(__xludf.DUMMYFUNCTION("""COMPUTED_VALUE"""),"Токелау")</f>
        <v>Токелау</v>
      </c>
      <c r="W221" s="14" t="str">
        <f ca="1">IFERROR(__xludf.DUMMYFUNCTION("""COMPUTED_VALUE"""),"Tokelauöarna")</f>
        <v>Tokelauöarna</v>
      </c>
      <c r="X221" s="14" t="str">
        <f ca="1">IFERROR(__xludf.DUMMYFUNCTION("""COMPUTED_VALUE"""),"Tokelau")</f>
        <v>Tokelau</v>
      </c>
      <c r="Y221" s="14" t="str">
        <f ca="1">IFERROR(__xludf.DUMMYFUNCTION("""COMPUTED_VALUE"""),"Tokelau")</f>
        <v>Tokelau</v>
      </c>
      <c r="Z221" s="14" t="str">
        <f ca="1">IFERROR(__xludf.DUMMYFUNCTION("""COMPUTED_VALUE"""),"โทเคอเลา")</f>
        <v>โทเคอเลา</v>
      </c>
      <c r="AA221" s="14" t="str">
        <f ca="1">IFERROR(__xludf.DUMMYFUNCTION("""COMPUTED_VALUE"""),"Tokelau")</f>
        <v>Tokelau</v>
      </c>
      <c r="AB221" s="14" t="str">
        <f ca="1">IFERROR(__xludf.DUMMYFUNCTION("""COMPUTED_VALUE"""),"TOKELAU")</f>
        <v>TOKELAU</v>
      </c>
      <c r="AC221" s="14" t="str">
        <f ca="1">IFERROR(__xludf.DUMMYFUNCTION("""COMPUTED_VALUE"""),"Токелау")</f>
        <v>Токелау</v>
      </c>
      <c r="AD221" s="14" t="str">
        <f ca="1">IFERROR(__xludf.DUMMYFUNCTION("""COMPUTED_VALUE"""),"Tokelau")</f>
        <v>Tokelau</v>
      </c>
      <c r="AE221" s="14" t="str">
        <f ca="1">IFERROR(__xludf.DUMMYFUNCTION("""COMPUTED_VALUE"""),"Токелау")</f>
        <v>Токелау</v>
      </c>
      <c r="AF221" s="14"/>
    </row>
    <row r="222" spans="1:32" ht="13" x14ac:dyDescent="0.15">
      <c r="A222" s="14" t="str">
        <f ca="1">IFERROR(__xludf.DUMMYFUNCTION("""COMPUTED_VALUE"""),"TL")</f>
        <v>TL</v>
      </c>
      <c r="B222" s="14" t="str">
        <f ca="1">IFERROR(__xludf.DUMMYFUNCTION("""COMPUTED_VALUE"""),"Timor-Leste")</f>
        <v>Timor-Leste</v>
      </c>
      <c r="C222" s="14" t="str">
        <f ca="1">IFERROR(__xludf.DUMMYFUNCTION("""COMPUTED_VALUE"""),"تيمور الشرقية")</f>
        <v>تيمور الشرقية</v>
      </c>
      <c r="D222" s="14" t="str">
        <f ca="1">IFERROR(__xludf.DUMMYFUNCTION("""COMPUTED_VALUE"""),"Източен Тимор")</f>
        <v>Източен Тимор</v>
      </c>
      <c r="E222" s="14" t="str">
        <f ca="1">IFERROR(__xludf.DUMMYFUNCTION("""COMPUTED_VALUE"""),"Timor-Leste")</f>
        <v>Timor-Leste</v>
      </c>
      <c r="F222" s="14" t="str">
        <f ca="1">IFERROR(__xludf.DUMMYFUNCTION("""COMPUTED_VALUE"""),"Усходні Тымор")</f>
        <v>Усходні Тымор</v>
      </c>
      <c r="G222" s="14" t="str">
        <f ca="1">IFERROR(__xludf.DUMMYFUNCTION("""COMPUTED_VALUE"""),"Východní Timor")</f>
        <v>Východní Timor</v>
      </c>
      <c r="H222" s="14" t="str">
        <f ca="1">IFERROR(__xludf.DUMMYFUNCTION("""COMPUTED_VALUE"""),"Osttimor (Timor-Leste)")</f>
        <v>Osttimor (Timor-Leste)</v>
      </c>
      <c r="I222" s="14" t="str">
        <f ca="1">IFERROR(__xludf.DUMMYFUNCTION("""COMPUTED_VALUE"""),"Timor-Leste")</f>
        <v>Timor-Leste</v>
      </c>
      <c r="J222" s="14" t="str">
        <f ca="1">IFERROR(__xludf.DUMMYFUNCTION("""COMPUTED_VALUE"""),"Itä-Timor")</f>
        <v>Itä-Timor</v>
      </c>
      <c r="K222" s="14" t="str">
        <f ca="1">IFERROR(__xludf.DUMMYFUNCTION("""COMPUTED_VALUE"""),"Ανατολικό Τιμόρ")</f>
        <v>Ανατολικό Τιμόρ</v>
      </c>
      <c r="L222" s="14" t="str">
        <f ca="1">IFERROR(__xludf.DUMMYFUNCTION("""COMPUTED_VALUE"""),"ΑΝΑΤΟΛΙΚΟ ΤΙΜΟΡ")</f>
        <v>ΑΝΑΤΟΛΙΚΟ ΤΙΜΟΡ</v>
      </c>
      <c r="M222" s="14" t="str">
        <f ca="1">IFERROR(__xludf.DUMMYFUNCTION("""COMPUTED_VALUE"""),"Istočni Timor")</f>
        <v>Istočni Timor</v>
      </c>
      <c r="N222" s="14" t="str">
        <f ca="1">IFERROR(__xludf.DUMMYFUNCTION("""COMPUTED_VALUE"""),"Kelet-Timor")</f>
        <v>Kelet-Timor</v>
      </c>
      <c r="O222" s="14" t="str">
        <f ca="1">IFERROR(__xludf.DUMMYFUNCTION("""COMPUTED_VALUE"""),"Timor Leste")</f>
        <v>Timor Leste</v>
      </c>
      <c r="P222" s="14" t="str">
        <f ca="1">IFERROR(__xludf.DUMMYFUNCTION("""COMPUTED_VALUE"""),"Timor Est")</f>
        <v>Timor Est</v>
      </c>
      <c r="Q222" s="14" t="str">
        <f ca="1">IFERROR(__xludf.DUMMYFUNCTION("""COMPUTED_VALUE"""),"동티모르")</f>
        <v>동티모르</v>
      </c>
      <c r="R222" s="14" t="str">
        <f ca="1">IFERROR(__xludf.DUMMYFUNCTION("""COMPUTED_VALUE"""),"Timor Wschodni")</f>
        <v>Timor Wschodni</v>
      </c>
      <c r="S222" s="14" t="str">
        <f ca="1">IFERROR(__xludf.DUMMYFUNCTION("""COMPUTED_VALUE"""),"Timor-Leste")</f>
        <v>Timor-Leste</v>
      </c>
      <c r="T222" s="14" t="str">
        <f ca="1">IFERROR(__xludf.DUMMYFUNCTION("""COMPUTED_VALUE"""),"Timorul de Est")</f>
        <v>Timorul de Est</v>
      </c>
      <c r="U222" s="14" t="str">
        <f ca="1">IFERROR(__xludf.DUMMYFUNCTION("""COMPUTED_VALUE"""),"Istočni Timor")</f>
        <v>Istočni Timor</v>
      </c>
      <c r="V222" s="14" t="str">
        <f ca="1">IFERROR(__xludf.DUMMYFUNCTION("""COMPUTED_VALUE"""),"Восточный Тимор")</f>
        <v>Восточный Тимор</v>
      </c>
      <c r="W222" s="14" t="str">
        <f ca="1">IFERROR(__xludf.DUMMYFUNCTION("""COMPUTED_VALUE"""),"Östtimor a.k.a. Timor-Leste")</f>
        <v>Östtimor a.k.a. Timor-Leste</v>
      </c>
      <c r="X222" s="14" t="str">
        <f ca="1">IFERROR(__xludf.DUMMYFUNCTION("""COMPUTED_VALUE"""),"Vzhodni Timor")</f>
        <v>Vzhodni Timor</v>
      </c>
      <c r="Y222" s="14" t="str">
        <f ca="1">IFERROR(__xludf.DUMMYFUNCTION("""COMPUTED_VALUE"""),"Východný Timor")</f>
        <v>Východný Timor</v>
      </c>
      <c r="Z222" s="14" t="str">
        <f ca="1">IFERROR(__xludf.DUMMYFUNCTION("""COMPUTED_VALUE"""),"ติมอร์-เลสเต")</f>
        <v>ติมอร์-เลสเต</v>
      </c>
      <c r="AA222" s="14" t="str">
        <f ca="1">IFERROR(__xludf.DUMMYFUNCTION("""COMPUTED_VALUE"""),"Timor-Leste")</f>
        <v>Timor-Leste</v>
      </c>
      <c r="AB222" s="14" t="str">
        <f ca="1">IFERROR(__xludf.DUMMYFUNCTION("""COMPUTED_VALUE"""),"TİMOR-LESTE")</f>
        <v>TİMOR-LESTE</v>
      </c>
      <c r="AC222" s="14" t="str">
        <f ca="1">IFERROR(__xludf.DUMMYFUNCTION("""COMPUTED_VALUE"""),"Східний Тимор")</f>
        <v>Східний Тимор</v>
      </c>
      <c r="AD222" s="14" t="str">
        <f ca="1">IFERROR(__xludf.DUMMYFUNCTION("""COMPUTED_VALUE"""),"Đông Timor")</f>
        <v>Đông Timor</v>
      </c>
      <c r="AE222" s="14" t="str">
        <f ca="1">IFERROR(__xludf.DUMMYFUNCTION("""COMPUTED_VALUE"""),"Шығыс Тимор")</f>
        <v>Шығыс Тимор</v>
      </c>
      <c r="AF222" s="14"/>
    </row>
    <row r="223" spans="1:32" ht="13" x14ac:dyDescent="0.15">
      <c r="A223" s="14" t="str">
        <f ca="1">IFERROR(__xludf.DUMMYFUNCTION("""COMPUTED_VALUE"""),"TM")</f>
        <v>TM</v>
      </c>
      <c r="B223" s="14" t="str">
        <f ca="1">IFERROR(__xludf.DUMMYFUNCTION("""COMPUTED_VALUE"""),"Turkmenistan")</f>
        <v>Turkmenistan</v>
      </c>
      <c r="C223" s="14" t="str">
        <f ca="1">IFERROR(__xludf.DUMMYFUNCTION("""COMPUTED_VALUE"""),"تركمانستان")</f>
        <v>تركمانستان</v>
      </c>
      <c r="D223" s="14" t="str">
        <f ca="1">IFERROR(__xludf.DUMMYFUNCTION("""COMPUTED_VALUE"""),"Туркменистан")</f>
        <v>Туркменистан</v>
      </c>
      <c r="E223" s="14" t="str">
        <f ca="1">IFERROR(__xludf.DUMMYFUNCTION("""COMPUTED_VALUE"""),"Turquemenistão")</f>
        <v>Turquemenistão</v>
      </c>
      <c r="F223" s="14" t="str">
        <f ca="1">IFERROR(__xludf.DUMMYFUNCTION("""COMPUTED_VALUE"""),"Туркменістан")</f>
        <v>Туркменістан</v>
      </c>
      <c r="G223" s="14" t="str">
        <f ca="1">IFERROR(__xludf.DUMMYFUNCTION("""COMPUTED_VALUE"""),"Turkmenistán")</f>
        <v>Turkmenistán</v>
      </c>
      <c r="H223" s="14" t="str">
        <f ca="1">IFERROR(__xludf.DUMMYFUNCTION("""COMPUTED_VALUE"""),"Turkmenistan")</f>
        <v>Turkmenistan</v>
      </c>
      <c r="I223" s="14" t="str">
        <f ca="1">IFERROR(__xludf.DUMMYFUNCTION("""COMPUTED_VALUE"""),"Turkmenistán")</f>
        <v>Turkmenistán</v>
      </c>
      <c r="J223" s="14" t="str">
        <f ca="1">IFERROR(__xludf.DUMMYFUNCTION("""COMPUTED_VALUE"""),"Turkmenistan")</f>
        <v>Turkmenistan</v>
      </c>
      <c r="K223" s="14" t="str">
        <f ca="1">IFERROR(__xludf.DUMMYFUNCTION("""COMPUTED_VALUE"""),"Τουρκμενιστάν")</f>
        <v>Τουρκμενιστάν</v>
      </c>
      <c r="L223" s="14" t="str">
        <f ca="1">IFERROR(__xludf.DUMMYFUNCTION("""COMPUTED_VALUE"""),"ΤΟΥΡΚΜΕΝΙΣΤΑΝ")</f>
        <v>ΤΟΥΡΚΜΕΝΙΣΤΑΝ</v>
      </c>
      <c r="M223" s="14" t="str">
        <f ca="1">IFERROR(__xludf.DUMMYFUNCTION("""COMPUTED_VALUE"""),"Turkmenistan")</f>
        <v>Turkmenistan</v>
      </c>
      <c r="N223" s="14" t="str">
        <f ca="1">IFERROR(__xludf.DUMMYFUNCTION("""COMPUTED_VALUE"""),"Türkmenisztán")</f>
        <v>Türkmenisztán</v>
      </c>
      <c r="O223" s="14" t="str">
        <f ca="1">IFERROR(__xludf.DUMMYFUNCTION("""COMPUTED_VALUE"""),"Turkmenistan")</f>
        <v>Turkmenistan</v>
      </c>
      <c r="P223" s="14" t="str">
        <f ca="1">IFERROR(__xludf.DUMMYFUNCTION("""COMPUTED_VALUE"""),"Turkmenistan")</f>
        <v>Turkmenistan</v>
      </c>
      <c r="Q223" s="14" t="str">
        <f ca="1">IFERROR(__xludf.DUMMYFUNCTION("""COMPUTED_VALUE"""),"투르크메니스탄")</f>
        <v>투르크메니스탄</v>
      </c>
      <c r="R223" s="14" t="str">
        <f ca="1">IFERROR(__xludf.DUMMYFUNCTION("""COMPUTED_VALUE"""),"Turkmenistan")</f>
        <v>Turkmenistan</v>
      </c>
      <c r="S223" s="14" t="str">
        <f ca="1">IFERROR(__xludf.DUMMYFUNCTION("""COMPUTED_VALUE"""),"Turquemenistão")</f>
        <v>Turquemenistão</v>
      </c>
      <c r="T223" s="14" t="str">
        <f ca="1">IFERROR(__xludf.DUMMYFUNCTION("""COMPUTED_VALUE"""),"Turkmenistan")</f>
        <v>Turkmenistan</v>
      </c>
      <c r="U223" s="14" t="str">
        <f ca="1">IFERROR(__xludf.DUMMYFUNCTION("""COMPUTED_VALUE"""),"Turkmenistan")</f>
        <v>Turkmenistan</v>
      </c>
      <c r="V223" s="14" t="str">
        <f ca="1">IFERROR(__xludf.DUMMYFUNCTION("""COMPUTED_VALUE"""),"Туркмения")</f>
        <v>Туркмения</v>
      </c>
      <c r="W223" s="14" t="str">
        <f ca="1">IFERROR(__xludf.DUMMYFUNCTION("""COMPUTED_VALUE"""),"Turkmenistan")</f>
        <v>Turkmenistan</v>
      </c>
      <c r="X223" s="14" t="str">
        <f ca="1">IFERROR(__xludf.DUMMYFUNCTION("""COMPUTED_VALUE"""),"Turkmenistan")</f>
        <v>Turkmenistan</v>
      </c>
      <c r="Y223" s="14" t="str">
        <f ca="1">IFERROR(__xludf.DUMMYFUNCTION("""COMPUTED_VALUE"""),"Turkménsko")</f>
        <v>Turkménsko</v>
      </c>
      <c r="Z223" s="14" t="str">
        <f ca="1">IFERROR(__xludf.DUMMYFUNCTION("""COMPUTED_VALUE"""),"เติร์กเมนิสถาน")</f>
        <v>เติร์กเมนิสถาน</v>
      </c>
      <c r="AA223" s="14" t="str">
        <f ca="1">IFERROR(__xludf.DUMMYFUNCTION("""COMPUTED_VALUE"""),"Türkmenistan")</f>
        <v>Türkmenistan</v>
      </c>
      <c r="AB223" s="14" t="str">
        <f ca="1">IFERROR(__xludf.DUMMYFUNCTION("""COMPUTED_VALUE"""),"TÜRKMENİSTAN")</f>
        <v>TÜRKMENİSTAN</v>
      </c>
      <c r="AC223" s="14" t="str">
        <f ca="1">IFERROR(__xludf.DUMMYFUNCTION("""COMPUTED_VALUE"""),"Туркменістан")</f>
        <v>Туркменістан</v>
      </c>
      <c r="AD223" s="14" t="str">
        <f ca="1">IFERROR(__xludf.DUMMYFUNCTION("""COMPUTED_VALUE"""),"Turkmenistan")</f>
        <v>Turkmenistan</v>
      </c>
      <c r="AE223" s="14" t="str">
        <f ca="1">IFERROR(__xludf.DUMMYFUNCTION("""COMPUTED_VALUE"""),"Түрікменстан")</f>
        <v>Түрікменстан</v>
      </c>
      <c r="AF223" s="14"/>
    </row>
    <row r="224" spans="1:32" ht="13" x14ac:dyDescent="0.15">
      <c r="A224" s="14" t="str">
        <f ca="1">IFERROR(__xludf.DUMMYFUNCTION("""COMPUTED_VALUE"""),"TN")</f>
        <v>TN</v>
      </c>
      <c r="B224" s="14" t="str">
        <f ca="1">IFERROR(__xludf.DUMMYFUNCTION("""COMPUTED_VALUE"""),"Tunisia")</f>
        <v>Tunisia</v>
      </c>
      <c r="C224" s="14" t="str">
        <f ca="1">IFERROR(__xludf.DUMMYFUNCTION("""COMPUTED_VALUE"""),"تونس")</f>
        <v>تونس</v>
      </c>
      <c r="D224" s="14" t="str">
        <f ca="1">IFERROR(__xludf.DUMMYFUNCTION("""COMPUTED_VALUE"""),"Тунис")</f>
        <v>Тунис</v>
      </c>
      <c r="E224" s="14" t="str">
        <f ca="1">IFERROR(__xludf.DUMMYFUNCTION("""COMPUTED_VALUE"""),"Tunísia")</f>
        <v>Tunísia</v>
      </c>
      <c r="F224" s="14" t="str">
        <f ca="1">IFERROR(__xludf.DUMMYFUNCTION("""COMPUTED_VALUE"""),"Туніс")</f>
        <v>Туніс</v>
      </c>
      <c r="G224" s="14" t="str">
        <f ca="1">IFERROR(__xludf.DUMMYFUNCTION("""COMPUTED_VALUE"""),"Tunisko")</f>
        <v>Tunisko</v>
      </c>
      <c r="H224" s="14" t="str">
        <f ca="1">IFERROR(__xludf.DUMMYFUNCTION("""COMPUTED_VALUE"""),"Tunesien")</f>
        <v>Tunesien</v>
      </c>
      <c r="I224" s="14" t="str">
        <f ca="1">IFERROR(__xludf.DUMMYFUNCTION("""COMPUTED_VALUE"""),"Túnez")</f>
        <v>Túnez</v>
      </c>
      <c r="J224" s="14" t="str">
        <f ca="1">IFERROR(__xludf.DUMMYFUNCTION("""COMPUTED_VALUE"""),"Tunisia")</f>
        <v>Tunisia</v>
      </c>
      <c r="K224" s="14" t="str">
        <f ca="1">IFERROR(__xludf.DUMMYFUNCTION("""COMPUTED_VALUE"""),"Τυνησία")</f>
        <v>Τυνησία</v>
      </c>
      <c r="L224" s="14" t="str">
        <f ca="1">IFERROR(__xludf.DUMMYFUNCTION("""COMPUTED_VALUE"""),"ΤΥΝΗΣΙΑ")</f>
        <v>ΤΥΝΗΣΙΑ</v>
      </c>
      <c r="M224" s="14" t="str">
        <f ca="1">IFERROR(__xludf.DUMMYFUNCTION("""COMPUTED_VALUE"""),"Tunis")</f>
        <v>Tunis</v>
      </c>
      <c r="N224" s="14" t="str">
        <f ca="1">IFERROR(__xludf.DUMMYFUNCTION("""COMPUTED_VALUE"""),"Tunézia")</f>
        <v>Tunézia</v>
      </c>
      <c r="O224" s="14" t="str">
        <f ca="1">IFERROR(__xludf.DUMMYFUNCTION("""COMPUTED_VALUE"""),"Tunisia")</f>
        <v>Tunisia</v>
      </c>
      <c r="P224" s="14" t="str">
        <f ca="1">IFERROR(__xludf.DUMMYFUNCTION("""COMPUTED_VALUE"""),"Tunisia")</f>
        <v>Tunisia</v>
      </c>
      <c r="Q224" s="14" t="str">
        <f ca="1">IFERROR(__xludf.DUMMYFUNCTION("""COMPUTED_VALUE"""),"튀니지")</f>
        <v>튀니지</v>
      </c>
      <c r="R224" s="14" t="str">
        <f ca="1">IFERROR(__xludf.DUMMYFUNCTION("""COMPUTED_VALUE"""),"Tunezja")</f>
        <v>Tunezja</v>
      </c>
      <c r="S224" s="14" t="str">
        <f ca="1">IFERROR(__xludf.DUMMYFUNCTION("""COMPUTED_VALUE"""),"Tunísia")</f>
        <v>Tunísia</v>
      </c>
      <c r="T224" s="14" t="str">
        <f ca="1">IFERROR(__xludf.DUMMYFUNCTION("""COMPUTED_VALUE"""),"Tunisia")</f>
        <v>Tunisia</v>
      </c>
      <c r="U224" s="14" t="str">
        <f ca="1">IFERROR(__xludf.DUMMYFUNCTION("""COMPUTED_VALUE"""),"Tunis")</f>
        <v>Tunis</v>
      </c>
      <c r="V224" s="14" t="str">
        <f ca="1">IFERROR(__xludf.DUMMYFUNCTION("""COMPUTED_VALUE"""),"Тунис")</f>
        <v>Тунис</v>
      </c>
      <c r="W224" s="14" t="str">
        <f ca="1">IFERROR(__xludf.DUMMYFUNCTION("""COMPUTED_VALUE"""),"Tunisien")</f>
        <v>Tunisien</v>
      </c>
      <c r="X224" s="14" t="str">
        <f ca="1">IFERROR(__xludf.DUMMYFUNCTION("""COMPUTED_VALUE"""),"Tunizija")</f>
        <v>Tunizija</v>
      </c>
      <c r="Y224" s="14" t="str">
        <f ca="1">IFERROR(__xludf.DUMMYFUNCTION("""COMPUTED_VALUE"""),"Tunisko")</f>
        <v>Tunisko</v>
      </c>
      <c r="Z224" s="14" t="str">
        <f ca="1">IFERROR(__xludf.DUMMYFUNCTION("""COMPUTED_VALUE"""),"ตูนิเซีย")</f>
        <v>ตูนิเซีย</v>
      </c>
      <c r="AA224" s="14" t="str">
        <f ca="1">IFERROR(__xludf.DUMMYFUNCTION("""COMPUTED_VALUE"""),"Tunus")</f>
        <v>Tunus</v>
      </c>
      <c r="AB224" s="14" t="str">
        <f ca="1">IFERROR(__xludf.DUMMYFUNCTION("""COMPUTED_VALUE"""),"TUNUS")</f>
        <v>TUNUS</v>
      </c>
      <c r="AC224" s="14" t="str">
        <f ca="1">IFERROR(__xludf.DUMMYFUNCTION("""COMPUTED_VALUE"""),"Туніс")</f>
        <v>Туніс</v>
      </c>
      <c r="AD224" s="14" t="str">
        <f ca="1">IFERROR(__xludf.DUMMYFUNCTION("""COMPUTED_VALUE"""),"Tunisia")</f>
        <v>Tunisia</v>
      </c>
      <c r="AE224" s="14" t="str">
        <f ca="1">IFERROR(__xludf.DUMMYFUNCTION("""COMPUTED_VALUE"""),"Тунис")</f>
        <v>Тунис</v>
      </c>
      <c r="AF224" s="14"/>
    </row>
    <row r="225" spans="1:32" ht="13" x14ac:dyDescent="0.15">
      <c r="A225" s="14" t="str">
        <f ca="1">IFERROR(__xludf.DUMMYFUNCTION("""COMPUTED_VALUE"""),"TO")</f>
        <v>TO</v>
      </c>
      <c r="B225" s="14" t="str">
        <f ca="1">IFERROR(__xludf.DUMMYFUNCTION("""COMPUTED_VALUE"""),"Tonga")</f>
        <v>Tonga</v>
      </c>
      <c r="C225" s="14" t="str">
        <f ca="1">IFERROR(__xludf.DUMMYFUNCTION("""COMPUTED_VALUE"""),"تونجا")</f>
        <v>تونجا</v>
      </c>
      <c r="D225" s="14" t="str">
        <f ca="1">IFERROR(__xludf.DUMMYFUNCTION("""COMPUTED_VALUE"""),"Тонга")</f>
        <v>Тонга</v>
      </c>
      <c r="E225" s="14" t="str">
        <f ca="1">IFERROR(__xludf.DUMMYFUNCTION("""COMPUTED_VALUE"""),"Tonga")</f>
        <v>Tonga</v>
      </c>
      <c r="F225" s="14" t="str">
        <f ca="1">IFERROR(__xludf.DUMMYFUNCTION("""COMPUTED_VALUE"""),"Тонга")</f>
        <v>Тонга</v>
      </c>
      <c r="G225" s="14" t="str">
        <f ca="1">IFERROR(__xludf.DUMMYFUNCTION("""COMPUTED_VALUE"""),"Tonga")</f>
        <v>Tonga</v>
      </c>
      <c r="H225" s="14" t="str">
        <f ca="1">IFERROR(__xludf.DUMMYFUNCTION("""COMPUTED_VALUE"""),"Tonga")</f>
        <v>Tonga</v>
      </c>
      <c r="I225" s="14" t="str">
        <f ca="1">IFERROR(__xludf.DUMMYFUNCTION("""COMPUTED_VALUE"""),"Tonga")</f>
        <v>Tonga</v>
      </c>
      <c r="J225" s="14" t="str">
        <f ca="1">IFERROR(__xludf.DUMMYFUNCTION("""COMPUTED_VALUE"""),"Tonga")</f>
        <v>Tonga</v>
      </c>
      <c r="K225" s="14" t="str">
        <f ca="1">IFERROR(__xludf.DUMMYFUNCTION("""COMPUTED_VALUE"""),"Τόγκα")</f>
        <v>Τόγκα</v>
      </c>
      <c r="L225" s="14" t="str">
        <f ca="1">IFERROR(__xludf.DUMMYFUNCTION("""COMPUTED_VALUE"""),"ΤΟΓΚΑ")</f>
        <v>ΤΟΓΚΑ</v>
      </c>
      <c r="M225" s="14" t="str">
        <f ca="1">IFERROR(__xludf.DUMMYFUNCTION("""COMPUTED_VALUE"""),"Tonga")</f>
        <v>Tonga</v>
      </c>
      <c r="N225" s="14" t="str">
        <f ca="1">IFERROR(__xludf.DUMMYFUNCTION("""COMPUTED_VALUE"""),"Tonga")</f>
        <v>Tonga</v>
      </c>
      <c r="O225" s="14" t="str">
        <f ca="1">IFERROR(__xludf.DUMMYFUNCTION("""COMPUTED_VALUE"""),"Tonga")</f>
        <v>Tonga</v>
      </c>
      <c r="P225" s="14" t="str">
        <f ca="1">IFERROR(__xludf.DUMMYFUNCTION("""COMPUTED_VALUE"""),"Tonga")</f>
        <v>Tonga</v>
      </c>
      <c r="Q225" s="14" t="str">
        <f ca="1">IFERROR(__xludf.DUMMYFUNCTION("""COMPUTED_VALUE"""),"통가")</f>
        <v>통가</v>
      </c>
      <c r="R225" s="14" t="str">
        <f ca="1">IFERROR(__xludf.DUMMYFUNCTION("""COMPUTED_VALUE"""),"Tonga")</f>
        <v>Tonga</v>
      </c>
      <c r="S225" s="14" t="str">
        <f ca="1">IFERROR(__xludf.DUMMYFUNCTION("""COMPUTED_VALUE"""),"Tonga")</f>
        <v>Tonga</v>
      </c>
      <c r="T225" s="14" t="str">
        <f ca="1">IFERROR(__xludf.DUMMYFUNCTION("""COMPUTED_VALUE"""),"Tonga")</f>
        <v>Tonga</v>
      </c>
      <c r="U225" s="14" t="str">
        <f ca="1">IFERROR(__xludf.DUMMYFUNCTION("""COMPUTED_VALUE"""),"Tonga")</f>
        <v>Tonga</v>
      </c>
      <c r="V225" s="14" t="str">
        <f ca="1">IFERROR(__xludf.DUMMYFUNCTION("""COMPUTED_VALUE"""),"Тонга")</f>
        <v>Тонга</v>
      </c>
      <c r="W225" s="14" t="str">
        <f ca="1">IFERROR(__xludf.DUMMYFUNCTION("""COMPUTED_VALUE"""),"Tonga")</f>
        <v>Tonga</v>
      </c>
      <c r="X225" s="14" t="str">
        <f ca="1">IFERROR(__xludf.DUMMYFUNCTION("""COMPUTED_VALUE"""),"Tonga")</f>
        <v>Tonga</v>
      </c>
      <c r="Y225" s="14" t="str">
        <f ca="1">IFERROR(__xludf.DUMMYFUNCTION("""COMPUTED_VALUE"""),"Tonga")</f>
        <v>Tonga</v>
      </c>
      <c r="Z225" s="14" t="str">
        <f ca="1">IFERROR(__xludf.DUMMYFUNCTION("""COMPUTED_VALUE"""),"ตองงา")</f>
        <v>ตองงา</v>
      </c>
      <c r="AA225" s="14" t="str">
        <f ca="1">IFERROR(__xludf.DUMMYFUNCTION("""COMPUTED_VALUE"""),"Tonga")</f>
        <v>Tonga</v>
      </c>
      <c r="AB225" s="14" t="str">
        <f ca="1">IFERROR(__xludf.DUMMYFUNCTION("""COMPUTED_VALUE"""),"TONGA")</f>
        <v>TONGA</v>
      </c>
      <c r="AC225" s="14" t="str">
        <f ca="1">IFERROR(__xludf.DUMMYFUNCTION("""COMPUTED_VALUE"""),"Тонга")</f>
        <v>Тонга</v>
      </c>
      <c r="AD225" s="14" t="str">
        <f ca="1">IFERROR(__xludf.DUMMYFUNCTION("""COMPUTED_VALUE"""),"Tonga")</f>
        <v>Tonga</v>
      </c>
      <c r="AE225" s="14" t="str">
        <f ca="1">IFERROR(__xludf.DUMMYFUNCTION("""COMPUTED_VALUE"""),"Тонга")</f>
        <v>Тонга</v>
      </c>
      <c r="AF225" s="14"/>
    </row>
    <row r="226" spans="1:32" ht="13" x14ac:dyDescent="0.15">
      <c r="A226" s="14" t="str">
        <f ca="1">IFERROR(__xludf.DUMMYFUNCTION("""COMPUTED_VALUE"""),"TR")</f>
        <v>TR</v>
      </c>
      <c r="B226" s="14" t="str">
        <f ca="1">IFERROR(__xludf.DUMMYFUNCTION("""COMPUTED_VALUE"""),"Turkey")</f>
        <v>Turkey</v>
      </c>
      <c r="C226" s="14" t="str">
        <f ca="1">IFERROR(__xludf.DUMMYFUNCTION("""COMPUTED_VALUE"""),"تركيا")</f>
        <v>تركيا</v>
      </c>
      <c r="D226" s="14" t="str">
        <f ca="1">IFERROR(__xludf.DUMMYFUNCTION("""COMPUTED_VALUE"""),"Турция")</f>
        <v>Турция</v>
      </c>
      <c r="E226" s="14" t="str">
        <f ca="1">IFERROR(__xludf.DUMMYFUNCTION("""COMPUTED_VALUE"""),"Turquia")</f>
        <v>Turquia</v>
      </c>
      <c r="F226" s="14" t="str">
        <f ca="1">IFERROR(__xludf.DUMMYFUNCTION("""COMPUTED_VALUE"""),"Турцыя")</f>
        <v>Турцыя</v>
      </c>
      <c r="G226" s="14" t="str">
        <f ca="1">IFERROR(__xludf.DUMMYFUNCTION("""COMPUTED_VALUE"""),"Turecko")</f>
        <v>Turecko</v>
      </c>
      <c r="H226" s="14" t="str">
        <f ca="1">IFERROR(__xludf.DUMMYFUNCTION("""COMPUTED_VALUE"""),"Türkei")</f>
        <v>Türkei</v>
      </c>
      <c r="I226" s="14" t="str">
        <f ca="1">IFERROR(__xludf.DUMMYFUNCTION("""COMPUTED_VALUE"""),"Turquía")</f>
        <v>Turquía</v>
      </c>
      <c r="J226" s="14" t="str">
        <f ca="1">IFERROR(__xludf.DUMMYFUNCTION("""COMPUTED_VALUE"""),"Turkki")</f>
        <v>Turkki</v>
      </c>
      <c r="K226" s="14" t="str">
        <f ca="1">IFERROR(__xludf.DUMMYFUNCTION("""COMPUTED_VALUE"""),"Τουρκία")</f>
        <v>Τουρκία</v>
      </c>
      <c r="L226" s="14" t="str">
        <f ca="1">IFERROR(__xludf.DUMMYFUNCTION("""COMPUTED_VALUE"""),"ΤΟΥΡΚΙΑ")</f>
        <v>ΤΟΥΡΚΙΑ</v>
      </c>
      <c r="M226" s="14" t="str">
        <f ca="1">IFERROR(__xludf.DUMMYFUNCTION("""COMPUTED_VALUE"""),"Turska")</f>
        <v>Turska</v>
      </c>
      <c r="N226" s="14" t="str">
        <f ca="1">IFERROR(__xludf.DUMMYFUNCTION("""COMPUTED_VALUE"""),"Törökország")</f>
        <v>Törökország</v>
      </c>
      <c r="O226" s="14" t="str">
        <f ca="1">IFERROR(__xludf.DUMMYFUNCTION("""COMPUTED_VALUE"""),"Turki")</f>
        <v>Turki</v>
      </c>
      <c r="P226" s="14" t="str">
        <f ca="1">IFERROR(__xludf.DUMMYFUNCTION("""COMPUTED_VALUE"""),"Turchia")</f>
        <v>Turchia</v>
      </c>
      <c r="Q226" s="14" t="str">
        <f ca="1">IFERROR(__xludf.DUMMYFUNCTION("""COMPUTED_VALUE"""),"터키")</f>
        <v>터키</v>
      </c>
      <c r="R226" s="14" t="str">
        <f ca="1">IFERROR(__xludf.DUMMYFUNCTION("""COMPUTED_VALUE"""),"Turcja")</f>
        <v>Turcja</v>
      </c>
      <c r="S226" s="14" t="str">
        <f ca="1">IFERROR(__xludf.DUMMYFUNCTION("""COMPUTED_VALUE"""),"Turquia")</f>
        <v>Turquia</v>
      </c>
      <c r="T226" s="14" t="str">
        <f ca="1">IFERROR(__xludf.DUMMYFUNCTION("""COMPUTED_VALUE"""),"Turcia")</f>
        <v>Turcia</v>
      </c>
      <c r="U226" s="14" t="str">
        <f ca="1">IFERROR(__xludf.DUMMYFUNCTION("""COMPUTED_VALUE"""),"Turska")</f>
        <v>Turska</v>
      </c>
      <c r="V226" s="14" t="str">
        <f ca="1">IFERROR(__xludf.DUMMYFUNCTION("""COMPUTED_VALUE"""),"Турция")</f>
        <v>Турция</v>
      </c>
      <c r="W226" s="14" t="str">
        <f ca="1">IFERROR(__xludf.DUMMYFUNCTION("""COMPUTED_VALUE"""),"Turkiet")</f>
        <v>Turkiet</v>
      </c>
      <c r="X226" s="14" t="str">
        <f ca="1">IFERROR(__xludf.DUMMYFUNCTION("""COMPUTED_VALUE"""),"Turčija")</f>
        <v>Turčija</v>
      </c>
      <c r="Y226" s="14" t="str">
        <f ca="1">IFERROR(__xludf.DUMMYFUNCTION("""COMPUTED_VALUE"""),"Turecko")</f>
        <v>Turecko</v>
      </c>
      <c r="Z226" s="14" t="str">
        <f ca="1">IFERROR(__xludf.DUMMYFUNCTION("""COMPUTED_VALUE"""),"ตุรกี")</f>
        <v>ตุรกี</v>
      </c>
      <c r="AA226" s="14" t="str">
        <f ca="1">IFERROR(__xludf.DUMMYFUNCTION("""COMPUTED_VALUE"""),"Türkiye")</f>
        <v>Türkiye</v>
      </c>
      <c r="AB226" s="14" t="str">
        <f ca="1">IFERROR(__xludf.DUMMYFUNCTION("""COMPUTED_VALUE"""),"TÜRKİYE")</f>
        <v>TÜRKİYE</v>
      </c>
      <c r="AC226" s="14" t="str">
        <f ca="1">IFERROR(__xludf.DUMMYFUNCTION("""COMPUTED_VALUE"""),"Туреччина")</f>
        <v>Туреччина</v>
      </c>
      <c r="AD226" s="14" t="str">
        <f ca="1">IFERROR(__xludf.DUMMYFUNCTION("""COMPUTED_VALUE"""),"Thổ Nhĩ Kỳ")</f>
        <v>Thổ Nhĩ Kỳ</v>
      </c>
      <c r="AE226" s="14" t="str">
        <f ca="1">IFERROR(__xludf.DUMMYFUNCTION("""COMPUTED_VALUE"""),"Түркия")</f>
        <v>Түркия</v>
      </c>
      <c r="AF226" s="14"/>
    </row>
    <row r="227" spans="1:32" ht="13" x14ac:dyDescent="0.15">
      <c r="A227" s="14" t="str">
        <f ca="1">IFERROR(__xludf.DUMMYFUNCTION("""COMPUTED_VALUE"""),"TT")</f>
        <v>TT</v>
      </c>
      <c r="B227" s="14" t="str">
        <f ca="1">IFERROR(__xludf.DUMMYFUNCTION("""COMPUTED_VALUE"""),"Trinidad and Tobago")</f>
        <v>Trinidad and Tobago</v>
      </c>
      <c r="C227" s="14" t="str">
        <f ca="1">IFERROR(__xludf.DUMMYFUNCTION("""COMPUTED_VALUE"""),"ترينيداد وتوباغو")</f>
        <v>ترينيداد وتوباغو</v>
      </c>
      <c r="D227" s="14" t="str">
        <f ca="1">IFERROR(__xludf.DUMMYFUNCTION("""COMPUTED_VALUE"""),"Тринидад и Тобаго")</f>
        <v>Тринидад и Тобаго</v>
      </c>
      <c r="E227" s="14" t="str">
        <f ca="1">IFERROR(__xludf.DUMMYFUNCTION("""COMPUTED_VALUE"""),"Trindade e Tobago")</f>
        <v>Trindade e Tobago</v>
      </c>
      <c r="F227" s="14" t="str">
        <f ca="1">IFERROR(__xludf.DUMMYFUNCTION("""COMPUTED_VALUE"""),"Трынідад і Табага")</f>
        <v>Трынідад і Табага</v>
      </c>
      <c r="G227" s="14" t="str">
        <f ca="1">IFERROR(__xludf.DUMMYFUNCTION("""COMPUTED_VALUE"""),"Trinidad a Tobago")</f>
        <v>Trinidad a Tobago</v>
      </c>
      <c r="H227" s="14" t="str">
        <f ca="1">IFERROR(__xludf.DUMMYFUNCTION("""COMPUTED_VALUE"""),"Trinidad und Tobago")</f>
        <v>Trinidad und Tobago</v>
      </c>
      <c r="I227" s="14" t="str">
        <f ca="1">IFERROR(__xludf.DUMMYFUNCTION("""COMPUTED_VALUE"""),"Trinidad y Tobago")</f>
        <v>Trinidad y Tobago</v>
      </c>
      <c r="J227" s="14" t="str">
        <f ca="1">IFERROR(__xludf.DUMMYFUNCTION("""COMPUTED_VALUE"""),"Trinidad ja Tobago")</f>
        <v>Trinidad ja Tobago</v>
      </c>
      <c r="K227" s="14" t="str">
        <f ca="1">IFERROR(__xludf.DUMMYFUNCTION("""COMPUTED_VALUE"""),"Τρινιντάντ και Τομπάγκο")</f>
        <v>Τρινιντάντ και Τομπάγκο</v>
      </c>
      <c r="L227" s="14" t="str">
        <f ca="1">IFERROR(__xludf.DUMMYFUNCTION("""COMPUTED_VALUE"""),"ΤΡΙΝΙΝΤΑΝΤ ΚΑΙ ΤΟΜΠΑΓΚΟ")</f>
        <v>ΤΡΙΝΙΝΤΑΝΤ ΚΑΙ ΤΟΜΠΑΓΚΟ</v>
      </c>
      <c r="M227" s="14" t="str">
        <f ca="1">IFERROR(__xludf.DUMMYFUNCTION("""COMPUTED_VALUE"""),"Trinidad i Tobago")</f>
        <v>Trinidad i Tobago</v>
      </c>
      <c r="N227" s="14" t="str">
        <f ca="1">IFERROR(__xludf.DUMMYFUNCTION("""COMPUTED_VALUE"""),"Trinidad és Tobago")</f>
        <v>Trinidad és Tobago</v>
      </c>
      <c r="O227" s="14" t="str">
        <f ca="1">IFERROR(__xludf.DUMMYFUNCTION("""COMPUTED_VALUE"""),"Trinidad dan Tobago")</f>
        <v>Trinidad dan Tobago</v>
      </c>
      <c r="P227" s="14" t="str">
        <f ca="1">IFERROR(__xludf.DUMMYFUNCTION("""COMPUTED_VALUE"""),"Trinidad e Tobago")</f>
        <v>Trinidad e Tobago</v>
      </c>
      <c r="Q227" s="14" t="str">
        <f ca="1">IFERROR(__xludf.DUMMYFUNCTION("""COMPUTED_VALUE"""),"트리니다드 토바고")</f>
        <v>트리니다드 토바고</v>
      </c>
      <c r="R227" s="14" t="str">
        <f ca="1">IFERROR(__xludf.DUMMYFUNCTION("""COMPUTED_VALUE"""),"Trynidad i Tobago")</f>
        <v>Trynidad i Tobago</v>
      </c>
      <c r="S227" s="14" t="str">
        <f ca="1">IFERROR(__xludf.DUMMYFUNCTION("""COMPUTED_VALUE"""),"Trindade e Tobago")</f>
        <v>Trindade e Tobago</v>
      </c>
      <c r="T227" s="14" t="str">
        <f ca="1">IFERROR(__xludf.DUMMYFUNCTION("""COMPUTED_VALUE"""),"Trinidad și Tobago")</f>
        <v>Trinidad și Tobago</v>
      </c>
      <c r="U227" s="14" t="str">
        <f ca="1">IFERROR(__xludf.DUMMYFUNCTION("""COMPUTED_VALUE"""),"Trinidad i Tobago")</f>
        <v>Trinidad i Tobago</v>
      </c>
      <c r="V227" s="14" t="str">
        <f ca="1">IFERROR(__xludf.DUMMYFUNCTION("""COMPUTED_VALUE"""),"Тринидад и Тобаго")</f>
        <v>Тринидад и Тобаго</v>
      </c>
      <c r="W227" s="14" t="str">
        <f ca="1">IFERROR(__xludf.DUMMYFUNCTION("""COMPUTED_VALUE"""),"Trinidad och Tobago")</f>
        <v>Trinidad och Tobago</v>
      </c>
      <c r="X227" s="14" t="str">
        <f ca="1">IFERROR(__xludf.DUMMYFUNCTION("""COMPUTED_VALUE"""),"Trinidad in Tobago")</f>
        <v>Trinidad in Tobago</v>
      </c>
      <c r="Y227" s="14" t="str">
        <f ca="1">IFERROR(__xludf.DUMMYFUNCTION("""COMPUTED_VALUE"""),"Trinidad a Tobago")</f>
        <v>Trinidad a Tobago</v>
      </c>
      <c r="Z227" s="14" t="str">
        <f ca="1">IFERROR(__xludf.DUMMYFUNCTION("""COMPUTED_VALUE"""),"ตรินิแดดและโตเบโก")</f>
        <v>ตรินิแดดและโตเบโก</v>
      </c>
      <c r="AA227" s="14" t="str">
        <f ca="1">IFERROR(__xludf.DUMMYFUNCTION("""COMPUTED_VALUE"""),"Trinidad ve Tobago")</f>
        <v>Trinidad ve Tobago</v>
      </c>
      <c r="AB227" s="14" t="str">
        <f ca="1">IFERROR(__xludf.DUMMYFUNCTION("""COMPUTED_VALUE"""),"TRİNİDAD VE TOBAGO")</f>
        <v>TRİNİDAD VE TOBAGO</v>
      </c>
      <c r="AC227" s="14" t="str">
        <f ca="1">IFERROR(__xludf.DUMMYFUNCTION("""COMPUTED_VALUE"""),"Тринідад і Тобаго")</f>
        <v>Тринідад і Тобаго</v>
      </c>
      <c r="AD227" s="14" t="str">
        <f ca="1">IFERROR(__xludf.DUMMYFUNCTION("""COMPUTED_VALUE"""),"Trinidad và Tobago")</f>
        <v>Trinidad và Tobago</v>
      </c>
      <c r="AE227" s="14" t="str">
        <f ca="1">IFERROR(__xludf.DUMMYFUNCTION("""COMPUTED_VALUE"""),"Тринидад және Тобаго")</f>
        <v>Тринидад және Тобаго</v>
      </c>
      <c r="AF227" s="14"/>
    </row>
    <row r="228" spans="1:32" ht="13" x14ac:dyDescent="0.15">
      <c r="A228" s="14" t="str">
        <f ca="1">IFERROR(__xludf.DUMMYFUNCTION("""COMPUTED_VALUE"""),"TV")</f>
        <v>TV</v>
      </c>
      <c r="B228" s="14" t="str">
        <f ca="1">IFERROR(__xludf.DUMMYFUNCTION("""COMPUTED_VALUE"""),"Tuvalu")</f>
        <v>Tuvalu</v>
      </c>
      <c r="C228" s="14" t="str">
        <f ca="1">IFERROR(__xludf.DUMMYFUNCTION("""COMPUTED_VALUE"""),"توفالو")</f>
        <v>توفالو</v>
      </c>
      <c r="D228" s="14" t="str">
        <f ca="1">IFERROR(__xludf.DUMMYFUNCTION("""COMPUTED_VALUE"""),"Тувалу")</f>
        <v>Тувалу</v>
      </c>
      <c r="E228" s="14" t="str">
        <f ca="1">IFERROR(__xludf.DUMMYFUNCTION("""COMPUTED_VALUE"""),"Tuvalu")</f>
        <v>Tuvalu</v>
      </c>
      <c r="F228" s="14" t="str">
        <f ca="1">IFERROR(__xludf.DUMMYFUNCTION("""COMPUTED_VALUE"""),"Тувалу")</f>
        <v>Тувалу</v>
      </c>
      <c r="G228" s="14" t="str">
        <f ca="1">IFERROR(__xludf.DUMMYFUNCTION("""COMPUTED_VALUE"""),"Tuvalu")</f>
        <v>Tuvalu</v>
      </c>
      <c r="H228" s="14" t="str">
        <f ca="1">IFERROR(__xludf.DUMMYFUNCTION("""COMPUTED_VALUE"""),"Tuvalu")</f>
        <v>Tuvalu</v>
      </c>
      <c r="I228" s="14" t="str">
        <f ca="1">IFERROR(__xludf.DUMMYFUNCTION("""COMPUTED_VALUE"""),"Tuvalu")</f>
        <v>Tuvalu</v>
      </c>
      <c r="J228" s="14" t="str">
        <f ca="1">IFERROR(__xludf.DUMMYFUNCTION("""COMPUTED_VALUE"""),"Tuvalu")</f>
        <v>Tuvalu</v>
      </c>
      <c r="K228" s="14" t="str">
        <f ca="1">IFERROR(__xludf.DUMMYFUNCTION("""COMPUTED_VALUE"""),"Τουβαλού")</f>
        <v>Τουβαλού</v>
      </c>
      <c r="L228" s="14" t="str">
        <f ca="1">IFERROR(__xludf.DUMMYFUNCTION("""COMPUTED_VALUE"""),"ΤΟΥΒΑΛΟΥ")</f>
        <v>ΤΟΥΒΑΛΟΥ</v>
      </c>
      <c r="M228" s="14" t="str">
        <f ca="1">IFERROR(__xludf.DUMMYFUNCTION("""COMPUTED_VALUE"""),"Tuvalu")</f>
        <v>Tuvalu</v>
      </c>
      <c r="N228" s="14" t="str">
        <f ca="1">IFERROR(__xludf.DUMMYFUNCTION("""COMPUTED_VALUE"""),"Tuvalu")</f>
        <v>Tuvalu</v>
      </c>
      <c r="O228" s="14" t="str">
        <f ca="1">IFERROR(__xludf.DUMMYFUNCTION("""COMPUTED_VALUE"""),"Tuvalu")</f>
        <v>Tuvalu</v>
      </c>
      <c r="P228" s="14" t="str">
        <f ca="1">IFERROR(__xludf.DUMMYFUNCTION("""COMPUTED_VALUE"""),"Tuvalu")</f>
        <v>Tuvalu</v>
      </c>
      <c r="Q228" s="14" t="str">
        <f ca="1">IFERROR(__xludf.DUMMYFUNCTION("""COMPUTED_VALUE"""),"투발루")</f>
        <v>투발루</v>
      </c>
      <c r="R228" s="14" t="str">
        <f ca="1">IFERROR(__xludf.DUMMYFUNCTION("""COMPUTED_VALUE"""),"Tuvalu")</f>
        <v>Tuvalu</v>
      </c>
      <c r="S228" s="14" t="str">
        <f ca="1">IFERROR(__xludf.DUMMYFUNCTION("""COMPUTED_VALUE"""),"Tuvalu")</f>
        <v>Tuvalu</v>
      </c>
      <c r="T228" s="14" t="str">
        <f ca="1">IFERROR(__xludf.DUMMYFUNCTION("""COMPUTED_VALUE"""),"Tuvalu")</f>
        <v>Tuvalu</v>
      </c>
      <c r="U228" s="14" t="str">
        <f ca="1">IFERROR(__xludf.DUMMYFUNCTION("""COMPUTED_VALUE"""),"Tuvalu")</f>
        <v>Tuvalu</v>
      </c>
      <c r="V228" s="14" t="str">
        <f ca="1">IFERROR(__xludf.DUMMYFUNCTION("""COMPUTED_VALUE"""),"Тувалу")</f>
        <v>Тувалу</v>
      </c>
      <c r="W228" s="14" t="str">
        <f ca="1">IFERROR(__xludf.DUMMYFUNCTION("""COMPUTED_VALUE"""),"Tuvalu")</f>
        <v>Tuvalu</v>
      </c>
      <c r="X228" s="14" t="str">
        <f ca="1">IFERROR(__xludf.DUMMYFUNCTION("""COMPUTED_VALUE"""),"Tuvalu")</f>
        <v>Tuvalu</v>
      </c>
      <c r="Y228" s="14" t="str">
        <f ca="1">IFERROR(__xludf.DUMMYFUNCTION("""COMPUTED_VALUE"""),"Tuvalu")</f>
        <v>Tuvalu</v>
      </c>
      <c r="Z228" s="14" t="str">
        <f ca="1">IFERROR(__xludf.DUMMYFUNCTION("""COMPUTED_VALUE"""),"ตูวาลู")</f>
        <v>ตูวาลู</v>
      </c>
      <c r="AA228" s="14" t="str">
        <f ca="1">IFERROR(__xludf.DUMMYFUNCTION("""COMPUTED_VALUE"""),"Tuvalu")</f>
        <v>Tuvalu</v>
      </c>
      <c r="AB228" s="14" t="str">
        <f ca="1">IFERROR(__xludf.DUMMYFUNCTION("""COMPUTED_VALUE"""),"TUVALU")</f>
        <v>TUVALU</v>
      </c>
      <c r="AC228" s="14" t="str">
        <f ca="1">IFERROR(__xludf.DUMMYFUNCTION("""COMPUTED_VALUE"""),"Тувалу")</f>
        <v>Тувалу</v>
      </c>
      <c r="AD228" s="14" t="str">
        <f ca="1">IFERROR(__xludf.DUMMYFUNCTION("""COMPUTED_VALUE"""),"Tuvalu")</f>
        <v>Tuvalu</v>
      </c>
      <c r="AE228" s="14" t="str">
        <f ca="1">IFERROR(__xludf.DUMMYFUNCTION("""COMPUTED_VALUE"""),"Тувалу")</f>
        <v>Тувалу</v>
      </c>
      <c r="AF228" s="14"/>
    </row>
    <row r="229" spans="1:32" ht="13" x14ac:dyDescent="0.15">
      <c r="A229" s="14" t="str">
        <f ca="1">IFERROR(__xludf.DUMMYFUNCTION("""COMPUTED_VALUE"""),"TW")</f>
        <v>TW</v>
      </c>
      <c r="B229" s="14" t="str">
        <f ca="1">IFERROR(__xludf.DUMMYFUNCTION("""COMPUTED_VALUE"""),"Taiwan")</f>
        <v>Taiwan</v>
      </c>
      <c r="C229" s="14" t="str">
        <f ca="1">IFERROR(__xludf.DUMMYFUNCTION("""COMPUTED_VALUE"""),"تايوان")</f>
        <v>تايوان</v>
      </c>
      <c r="D229" s="14" t="str">
        <f ca="1">IFERROR(__xludf.DUMMYFUNCTION("""COMPUTED_VALUE"""),"Тайван")</f>
        <v>Тайван</v>
      </c>
      <c r="E229" s="14" t="str">
        <f ca="1">IFERROR(__xludf.DUMMYFUNCTION("""COMPUTED_VALUE"""),"Taiwan")</f>
        <v>Taiwan</v>
      </c>
      <c r="F229" s="14" t="str">
        <f ca="1">IFERROR(__xludf.DUMMYFUNCTION("""COMPUTED_VALUE"""),"Тайвань")</f>
        <v>Тайвань</v>
      </c>
      <c r="G229" s="14" t="str">
        <f ca="1">IFERROR(__xludf.DUMMYFUNCTION("""COMPUTED_VALUE"""),"Tchaj-wan")</f>
        <v>Tchaj-wan</v>
      </c>
      <c r="H229" s="14" t="str">
        <f ca="1">IFERROR(__xludf.DUMMYFUNCTION("""COMPUTED_VALUE"""),"Taiwan")</f>
        <v>Taiwan</v>
      </c>
      <c r="I229" s="14" t="str">
        <f ca="1">IFERROR(__xludf.DUMMYFUNCTION("""COMPUTED_VALUE"""),"Taiwán")</f>
        <v>Taiwán</v>
      </c>
      <c r="J229" s="14" t="str">
        <f ca="1">IFERROR(__xludf.DUMMYFUNCTION("""COMPUTED_VALUE"""),"Taiwan")</f>
        <v>Taiwan</v>
      </c>
      <c r="K229" s="14" t="str">
        <f ca="1">IFERROR(__xludf.DUMMYFUNCTION("""COMPUTED_VALUE"""),"Ταϊβάν")</f>
        <v>Ταϊβάν</v>
      </c>
      <c r="L229" s="14" t="str">
        <f ca="1">IFERROR(__xludf.DUMMYFUNCTION("""COMPUTED_VALUE"""),"ΤΑΪΒΑΝ")</f>
        <v>ΤΑΪΒΑΝ</v>
      </c>
      <c r="M229" s="14" t="str">
        <f ca="1">IFERROR(__xludf.DUMMYFUNCTION("""COMPUTED_VALUE"""),"Tajvan")</f>
        <v>Tajvan</v>
      </c>
      <c r="N229" s="14" t="str">
        <f ca="1">IFERROR(__xludf.DUMMYFUNCTION("""COMPUTED_VALUE"""),"Tajvan")</f>
        <v>Tajvan</v>
      </c>
      <c r="O229" s="14" t="str">
        <f ca="1">IFERROR(__xludf.DUMMYFUNCTION("""COMPUTED_VALUE"""),"Taiwan")</f>
        <v>Taiwan</v>
      </c>
      <c r="P229" s="14" t="str">
        <f ca="1">IFERROR(__xludf.DUMMYFUNCTION("""COMPUTED_VALUE"""),"Taiwan")</f>
        <v>Taiwan</v>
      </c>
      <c r="Q229" s="14" t="str">
        <f ca="1">IFERROR(__xludf.DUMMYFUNCTION("""COMPUTED_VALUE"""),"타이완")</f>
        <v>타이완</v>
      </c>
      <c r="R229" s="14" t="str">
        <f ca="1">IFERROR(__xludf.DUMMYFUNCTION("""COMPUTED_VALUE"""),"Tajwan")</f>
        <v>Tajwan</v>
      </c>
      <c r="S229" s="14" t="str">
        <f ca="1">IFERROR(__xludf.DUMMYFUNCTION("""COMPUTED_VALUE"""),"Taiwan")</f>
        <v>Taiwan</v>
      </c>
      <c r="T229" s="14" t="str">
        <f ca="1">IFERROR(__xludf.DUMMYFUNCTION("""COMPUTED_VALUE"""),"Taiwan")</f>
        <v>Taiwan</v>
      </c>
      <c r="U229" s="14" t="str">
        <f ca="1">IFERROR(__xludf.DUMMYFUNCTION("""COMPUTED_VALUE"""),"Tajvan")</f>
        <v>Tajvan</v>
      </c>
      <c r="V229" s="14" t="str">
        <f ca="1">IFERROR(__xludf.DUMMYFUNCTION("""COMPUTED_VALUE"""),"Тайвань")</f>
        <v>Тайвань</v>
      </c>
      <c r="W229" s="14" t="str">
        <f ca="1">IFERROR(__xludf.DUMMYFUNCTION("""COMPUTED_VALUE"""),"Taiwan")</f>
        <v>Taiwan</v>
      </c>
      <c r="X229" s="14" t="str">
        <f ca="1">IFERROR(__xludf.DUMMYFUNCTION("""COMPUTED_VALUE"""),"Tajvan")</f>
        <v>Tajvan</v>
      </c>
      <c r="Y229" s="14" t="str">
        <f ca="1">IFERROR(__xludf.DUMMYFUNCTION("""COMPUTED_VALUE"""),"Taiwan")</f>
        <v>Taiwan</v>
      </c>
      <c r="Z229" s="14" t="str">
        <f ca="1">IFERROR(__xludf.DUMMYFUNCTION("""COMPUTED_VALUE"""),"ไต้หวัน")</f>
        <v>ไต้หวัน</v>
      </c>
      <c r="AA229" s="14" t="str">
        <f ca="1">IFERROR(__xludf.DUMMYFUNCTION("""COMPUTED_VALUE"""),"Tayvan")</f>
        <v>Tayvan</v>
      </c>
      <c r="AB229" s="14" t="str">
        <f ca="1">IFERROR(__xludf.DUMMYFUNCTION("""COMPUTED_VALUE"""),"TAYVAN")</f>
        <v>TAYVAN</v>
      </c>
      <c r="AC229" s="14" t="str">
        <f ca="1">IFERROR(__xludf.DUMMYFUNCTION("""COMPUTED_VALUE"""),"Тайвань")</f>
        <v>Тайвань</v>
      </c>
      <c r="AD229" s="14" t="str">
        <f ca="1">IFERROR(__xludf.DUMMYFUNCTION("""COMPUTED_VALUE"""),"Đài Loan")</f>
        <v>Đài Loan</v>
      </c>
      <c r="AE229" s="14" t="str">
        <f ca="1">IFERROR(__xludf.DUMMYFUNCTION("""COMPUTED_VALUE"""),"Тайвань")</f>
        <v>Тайвань</v>
      </c>
      <c r="AF229" s="14"/>
    </row>
    <row r="230" spans="1:32" ht="13" x14ac:dyDescent="0.15">
      <c r="A230" s="14" t="str">
        <f ca="1">IFERROR(__xludf.DUMMYFUNCTION("""COMPUTED_VALUE"""),"TZ")</f>
        <v>TZ</v>
      </c>
      <c r="B230" s="14" t="str">
        <f ca="1">IFERROR(__xludf.DUMMYFUNCTION("""COMPUTED_VALUE"""),"Tanzania")</f>
        <v>Tanzania</v>
      </c>
      <c r="C230" s="14" t="str">
        <f ca="1">IFERROR(__xludf.DUMMYFUNCTION("""COMPUTED_VALUE"""),"تانزانيا")</f>
        <v>تانزانيا</v>
      </c>
      <c r="D230" s="14" t="str">
        <f ca="1">IFERROR(__xludf.DUMMYFUNCTION("""COMPUTED_VALUE"""),"Танзания")</f>
        <v>Танзания</v>
      </c>
      <c r="E230" s="14" t="str">
        <f ca="1">IFERROR(__xludf.DUMMYFUNCTION("""COMPUTED_VALUE"""),"Tanzânia")</f>
        <v>Tanzânia</v>
      </c>
      <c r="F230" s="14" t="str">
        <f ca="1">IFERROR(__xludf.DUMMYFUNCTION("""COMPUTED_VALUE"""),"Танзанія")</f>
        <v>Танзанія</v>
      </c>
      <c r="G230" s="14" t="str">
        <f ca="1">IFERROR(__xludf.DUMMYFUNCTION("""COMPUTED_VALUE"""),"Tanzanie")</f>
        <v>Tanzanie</v>
      </c>
      <c r="H230" s="14" t="str">
        <f ca="1">IFERROR(__xludf.DUMMYFUNCTION("""COMPUTED_VALUE"""),"Tansania, Vereinigte Republik")</f>
        <v>Tansania, Vereinigte Republik</v>
      </c>
      <c r="I230" s="14" t="str">
        <f ca="1">IFERROR(__xludf.DUMMYFUNCTION("""COMPUTED_VALUE"""),"Tanzania, República Unida de")</f>
        <v>Tanzania, República Unida de</v>
      </c>
      <c r="J230" s="14" t="str">
        <f ca="1">IFERROR(__xludf.DUMMYFUNCTION("""COMPUTED_VALUE"""),"Tansania")</f>
        <v>Tansania</v>
      </c>
      <c r="K230" s="14" t="str">
        <f ca="1">IFERROR(__xludf.DUMMYFUNCTION("""COMPUTED_VALUE"""),"Τανζανία")</f>
        <v>Τανζανία</v>
      </c>
      <c r="L230" s="14" t="str">
        <f ca="1">IFERROR(__xludf.DUMMYFUNCTION("""COMPUTED_VALUE"""),"ΤΑΝΖΑΝΙΑ")</f>
        <v>ΤΑΝΖΑΝΙΑ</v>
      </c>
      <c r="M230" s="14" t="str">
        <f ca="1">IFERROR(__xludf.DUMMYFUNCTION("""COMPUTED_VALUE"""),"Tanzanija")</f>
        <v>Tanzanija</v>
      </c>
      <c r="N230" s="14" t="str">
        <f ca="1">IFERROR(__xludf.DUMMYFUNCTION("""COMPUTED_VALUE"""),"Tanzánia")</f>
        <v>Tanzánia</v>
      </c>
      <c r="O230" s="14" t="str">
        <f ca="1">IFERROR(__xludf.DUMMYFUNCTION("""COMPUTED_VALUE"""),"Tanzania")</f>
        <v>Tanzania</v>
      </c>
      <c r="P230" s="14" t="str">
        <f ca="1">IFERROR(__xludf.DUMMYFUNCTION("""COMPUTED_VALUE"""),"Tanzania")</f>
        <v>Tanzania</v>
      </c>
      <c r="Q230" s="14" t="str">
        <f ca="1">IFERROR(__xludf.DUMMYFUNCTION("""COMPUTED_VALUE"""),"탄자니아")</f>
        <v>탄자니아</v>
      </c>
      <c r="R230" s="14" t="str">
        <f ca="1">IFERROR(__xludf.DUMMYFUNCTION("""COMPUTED_VALUE"""),"Tanzania")</f>
        <v>Tanzania</v>
      </c>
      <c r="S230" s="14" t="str">
        <f ca="1">IFERROR(__xludf.DUMMYFUNCTION("""COMPUTED_VALUE"""),"Tanzânia")</f>
        <v>Tanzânia</v>
      </c>
      <c r="T230" s="14" t="str">
        <f ca="1">IFERROR(__xludf.DUMMYFUNCTION("""COMPUTED_VALUE"""),"Tanzania")</f>
        <v>Tanzania</v>
      </c>
      <c r="U230" s="14" t="str">
        <f ca="1">IFERROR(__xludf.DUMMYFUNCTION("""COMPUTED_VALUE"""),"Tanzanija")</f>
        <v>Tanzanija</v>
      </c>
      <c r="V230" s="14" t="str">
        <f ca="1">IFERROR(__xludf.DUMMYFUNCTION("""COMPUTED_VALUE"""),"Танзания")</f>
        <v>Танзания</v>
      </c>
      <c r="W230" s="14" t="str">
        <f ca="1">IFERROR(__xludf.DUMMYFUNCTION("""COMPUTED_VALUE"""),"Tanzania")</f>
        <v>Tanzania</v>
      </c>
      <c r="X230" s="14" t="str">
        <f ca="1">IFERROR(__xludf.DUMMYFUNCTION("""COMPUTED_VALUE"""),"Tanzanija")</f>
        <v>Tanzanija</v>
      </c>
      <c r="Y230" s="14" t="str">
        <f ca="1">IFERROR(__xludf.DUMMYFUNCTION("""COMPUTED_VALUE"""),"Tanzánia")</f>
        <v>Tanzánia</v>
      </c>
      <c r="Z230" s="14" t="str">
        <f ca="1">IFERROR(__xludf.DUMMYFUNCTION("""COMPUTED_VALUE"""),"แทนซาเนีย")</f>
        <v>แทนซาเนีย</v>
      </c>
      <c r="AA230" s="14" t="str">
        <f ca="1">IFERROR(__xludf.DUMMYFUNCTION("""COMPUTED_VALUE"""),"Tanzanya")</f>
        <v>Tanzanya</v>
      </c>
      <c r="AB230" s="14" t="str">
        <f ca="1">IFERROR(__xludf.DUMMYFUNCTION("""COMPUTED_VALUE"""),"TANZANYA")</f>
        <v>TANZANYA</v>
      </c>
      <c r="AC230" s="14" t="str">
        <f ca="1">IFERROR(__xludf.DUMMYFUNCTION("""COMPUTED_VALUE"""),"Танзанія")</f>
        <v>Танзанія</v>
      </c>
      <c r="AD230" s="14" t="str">
        <f ca="1">IFERROR(__xludf.DUMMYFUNCTION("""COMPUTED_VALUE"""),"Tanzania")</f>
        <v>Tanzania</v>
      </c>
      <c r="AE230" s="14" t="str">
        <f ca="1">IFERROR(__xludf.DUMMYFUNCTION("""COMPUTED_VALUE"""),"Танзания")</f>
        <v>Танзания</v>
      </c>
      <c r="AF230" s="14"/>
    </row>
    <row r="231" spans="1:32" ht="13" x14ac:dyDescent="0.15">
      <c r="A231" s="14" t="str">
        <f ca="1">IFERROR(__xludf.DUMMYFUNCTION("""COMPUTED_VALUE"""),"UA")</f>
        <v>UA</v>
      </c>
      <c r="B231" s="14" t="str">
        <f ca="1">IFERROR(__xludf.DUMMYFUNCTION("""COMPUTED_VALUE"""),"Ukraine")</f>
        <v>Ukraine</v>
      </c>
      <c r="C231" s="14" t="str">
        <f ca="1">IFERROR(__xludf.DUMMYFUNCTION("""COMPUTED_VALUE"""),"أوكرانيا")</f>
        <v>أوكرانيا</v>
      </c>
      <c r="D231" s="14" t="str">
        <f ca="1">IFERROR(__xludf.DUMMYFUNCTION("""COMPUTED_VALUE"""),"Украйна")</f>
        <v>Украйна</v>
      </c>
      <c r="E231" s="14" t="str">
        <f ca="1">IFERROR(__xludf.DUMMYFUNCTION("""COMPUTED_VALUE"""),"Ucrânia")</f>
        <v>Ucrânia</v>
      </c>
      <c r="F231" s="14" t="str">
        <f ca="1">IFERROR(__xludf.DUMMYFUNCTION("""COMPUTED_VALUE"""),"Украіна")</f>
        <v>Украіна</v>
      </c>
      <c r="G231" s="14" t="str">
        <f ca="1">IFERROR(__xludf.DUMMYFUNCTION("""COMPUTED_VALUE"""),"Ukrajina")</f>
        <v>Ukrajina</v>
      </c>
      <c r="H231" s="14" t="str">
        <f ca="1">IFERROR(__xludf.DUMMYFUNCTION("""COMPUTED_VALUE"""),"Ukraine")</f>
        <v>Ukraine</v>
      </c>
      <c r="I231" s="14" t="str">
        <f ca="1">IFERROR(__xludf.DUMMYFUNCTION("""COMPUTED_VALUE"""),"Ucrania")</f>
        <v>Ucrania</v>
      </c>
      <c r="J231" s="14" t="str">
        <f ca="1">IFERROR(__xludf.DUMMYFUNCTION("""COMPUTED_VALUE"""),"Ukraina")</f>
        <v>Ukraina</v>
      </c>
      <c r="K231" s="14" t="str">
        <f ca="1">IFERROR(__xludf.DUMMYFUNCTION("""COMPUTED_VALUE"""),"Ουκρανία")</f>
        <v>Ουκρανία</v>
      </c>
      <c r="L231" s="14" t="str">
        <f ca="1">IFERROR(__xludf.DUMMYFUNCTION("""COMPUTED_VALUE"""),"ΟΥΚΡΑΝΙΑ")</f>
        <v>ΟΥΚΡΑΝΙΑ</v>
      </c>
      <c r="M231" s="14" t="str">
        <f ca="1">IFERROR(__xludf.DUMMYFUNCTION("""COMPUTED_VALUE"""),"Ukrajina")</f>
        <v>Ukrajina</v>
      </c>
      <c r="N231" s="14" t="str">
        <f ca="1">IFERROR(__xludf.DUMMYFUNCTION("""COMPUTED_VALUE"""),"Ukrajna")</f>
        <v>Ukrajna</v>
      </c>
      <c r="O231" s="14" t="str">
        <f ca="1">IFERROR(__xludf.DUMMYFUNCTION("""COMPUTED_VALUE"""),"Ukraina")</f>
        <v>Ukraina</v>
      </c>
      <c r="P231" s="14" t="str">
        <f ca="1">IFERROR(__xludf.DUMMYFUNCTION("""COMPUTED_VALUE"""),"Ucraina")</f>
        <v>Ucraina</v>
      </c>
      <c r="Q231" s="14" t="str">
        <f ca="1">IFERROR(__xludf.DUMMYFUNCTION("""COMPUTED_VALUE"""),"우크라이나")</f>
        <v>우크라이나</v>
      </c>
      <c r="R231" s="14" t="str">
        <f ca="1">IFERROR(__xludf.DUMMYFUNCTION("""COMPUTED_VALUE"""),"Ukraina")</f>
        <v>Ukraina</v>
      </c>
      <c r="S231" s="14" t="str">
        <f ca="1">IFERROR(__xludf.DUMMYFUNCTION("""COMPUTED_VALUE"""),"Ucrânia")</f>
        <v>Ucrânia</v>
      </c>
      <c r="T231" s="14" t="str">
        <f ca="1">IFERROR(__xludf.DUMMYFUNCTION("""COMPUTED_VALUE"""),"Ucraina")</f>
        <v>Ucraina</v>
      </c>
      <c r="U231" s="14" t="str">
        <f ca="1">IFERROR(__xludf.DUMMYFUNCTION("""COMPUTED_VALUE"""),"Ukrajina")</f>
        <v>Ukrajina</v>
      </c>
      <c r="V231" s="14" t="str">
        <f ca="1">IFERROR(__xludf.DUMMYFUNCTION("""COMPUTED_VALUE"""),"Украина")</f>
        <v>Украина</v>
      </c>
      <c r="W231" s="14" t="str">
        <f ca="1">IFERROR(__xludf.DUMMYFUNCTION("""COMPUTED_VALUE"""),"Ukraina")</f>
        <v>Ukraina</v>
      </c>
      <c r="X231" s="14" t="str">
        <f ca="1">IFERROR(__xludf.DUMMYFUNCTION("""COMPUTED_VALUE"""),"Ukrajina")</f>
        <v>Ukrajina</v>
      </c>
      <c r="Y231" s="14" t="str">
        <f ca="1">IFERROR(__xludf.DUMMYFUNCTION("""COMPUTED_VALUE"""),"Ukrajina")</f>
        <v>Ukrajina</v>
      </c>
      <c r="Z231" s="14" t="str">
        <f ca="1">IFERROR(__xludf.DUMMYFUNCTION("""COMPUTED_VALUE"""),"ยูเครน")</f>
        <v>ยูเครน</v>
      </c>
      <c r="AA231" s="14" t="str">
        <f ca="1">IFERROR(__xludf.DUMMYFUNCTION("""COMPUTED_VALUE"""),"Ukrayna")</f>
        <v>Ukrayna</v>
      </c>
      <c r="AB231" s="14" t="str">
        <f ca="1">IFERROR(__xludf.DUMMYFUNCTION("""COMPUTED_VALUE"""),"UKRAYNA")</f>
        <v>UKRAYNA</v>
      </c>
      <c r="AC231" s="14" t="str">
        <f ca="1">IFERROR(__xludf.DUMMYFUNCTION("""COMPUTED_VALUE"""),"Україна")</f>
        <v>Україна</v>
      </c>
      <c r="AD231" s="14" t="str">
        <f ca="1">IFERROR(__xludf.DUMMYFUNCTION("""COMPUTED_VALUE"""),"Ukraina")</f>
        <v>Ukraina</v>
      </c>
      <c r="AE231" s="14" t="str">
        <f ca="1">IFERROR(__xludf.DUMMYFUNCTION("""COMPUTED_VALUE"""),"Украина")</f>
        <v>Украина</v>
      </c>
      <c r="AF231" s="14"/>
    </row>
    <row r="232" spans="1:32" ht="13" x14ac:dyDescent="0.15">
      <c r="A232" s="14" t="str">
        <f ca="1">IFERROR(__xludf.DUMMYFUNCTION("""COMPUTED_VALUE"""),"UG")</f>
        <v>UG</v>
      </c>
      <c r="B232" s="14" t="str">
        <f ca="1">IFERROR(__xludf.DUMMYFUNCTION("""COMPUTED_VALUE"""),"Uganda")</f>
        <v>Uganda</v>
      </c>
      <c r="C232" s="14" t="str">
        <f ca="1">IFERROR(__xludf.DUMMYFUNCTION("""COMPUTED_VALUE"""),"أوغندا")</f>
        <v>أوغندا</v>
      </c>
      <c r="D232" s="14" t="str">
        <f ca="1">IFERROR(__xludf.DUMMYFUNCTION("""COMPUTED_VALUE"""),"Уганда")</f>
        <v>Уганда</v>
      </c>
      <c r="E232" s="14" t="str">
        <f ca="1">IFERROR(__xludf.DUMMYFUNCTION("""COMPUTED_VALUE"""),"Uganda")</f>
        <v>Uganda</v>
      </c>
      <c r="F232" s="14" t="str">
        <f ca="1">IFERROR(__xludf.DUMMYFUNCTION("""COMPUTED_VALUE"""),"Уганда")</f>
        <v>Уганда</v>
      </c>
      <c r="G232" s="14" t="str">
        <f ca="1">IFERROR(__xludf.DUMMYFUNCTION("""COMPUTED_VALUE"""),"Uganda")</f>
        <v>Uganda</v>
      </c>
      <c r="H232" s="14" t="str">
        <f ca="1">IFERROR(__xludf.DUMMYFUNCTION("""COMPUTED_VALUE"""),"Uganda")</f>
        <v>Uganda</v>
      </c>
      <c r="I232" s="14" t="str">
        <f ca="1">IFERROR(__xludf.DUMMYFUNCTION("""COMPUTED_VALUE"""),"Uganda")</f>
        <v>Uganda</v>
      </c>
      <c r="J232" s="14" t="str">
        <f ca="1">IFERROR(__xludf.DUMMYFUNCTION("""COMPUTED_VALUE"""),"Uganda")</f>
        <v>Uganda</v>
      </c>
      <c r="K232" s="14" t="str">
        <f ca="1">IFERROR(__xludf.DUMMYFUNCTION("""COMPUTED_VALUE"""),"Ουγκάντα")</f>
        <v>Ουγκάντα</v>
      </c>
      <c r="L232" s="14" t="str">
        <f ca="1">IFERROR(__xludf.DUMMYFUNCTION("""COMPUTED_VALUE"""),"ΟΥΓΚΑΝΤΑ")</f>
        <v>ΟΥΓΚΑΝΤΑ</v>
      </c>
      <c r="M232" s="14" t="str">
        <f ca="1">IFERROR(__xludf.DUMMYFUNCTION("""COMPUTED_VALUE"""),"Uganda")</f>
        <v>Uganda</v>
      </c>
      <c r="N232" s="14" t="str">
        <f ca="1">IFERROR(__xludf.DUMMYFUNCTION("""COMPUTED_VALUE"""),"Uganda")</f>
        <v>Uganda</v>
      </c>
      <c r="O232" s="14" t="str">
        <f ca="1">IFERROR(__xludf.DUMMYFUNCTION("""COMPUTED_VALUE"""),"Uganda")</f>
        <v>Uganda</v>
      </c>
      <c r="P232" s="14" t="str">
        <f ca="1">IFERROR(__xludf.DUMMYFUNCTION("""COMPUTED_VALUE"""),"Uganda")</f>
        <v>Uganda</v>
      </c>
      <c r="Q232" s="14" t="str">
        <f ca="1">IFERROR(__xludf.DUMMYFUNCTION("""COMPUTED_VALUE"""),"우간다")</f>
        <v>우간다</v>
      </c>
      <c r="R232" s="14" t="str">
        <f ca="1">IFERROR(__xludf.DUMMYFUNCTION("""COMPUTED_VALUE"""),"Uganda")</f>
        <v>Uganda</v>
      </c>
      <c r="S232" s="14" t="str">
        <f ca="1">IFERROR(__xludf.DUMMYFUNCTION("""COMPUTED_VALUE"""),"Uganda")</f>
        <v>Uganda</v>
      </c>
      <c r="T232" s="14" t="str">
        <f ca="1">IFERROR(__xludf.DUMMYFUNCTION("""COMPUTED_VALUE"""),"Uganda")</f>
        <v>Uganda</v>
      </c>
      <c r="U232" s="14" t="str">
        <f ca="1">IFERROR(__xludf.DUMMYFUNCTION("""COMPUTED_VALUE"""),"Uganda")</f>
        <v>Uganda</v>
      </c>
      <c r="V232" s="14" t="str">
        <f ca="1">IFERROR(__xludf.DUMMYFUNCTION("""COMPUTED_VALUE"""),"Уганда")</f>
        <v>Уганда</v>
      </c>
      <c r="W232" s="14" t="str">
        <f ca="1">IFERROR(__xludf.DUMMYFUNCTION("""COMPUTED_VALUE"""),"Uganda")</f>
        <v>Uganda</v>
      </c>
      <c r="X232" s="14" t="str">
        <f ca="1">IFERROR(__xludf.DUMMYFUNCTION("""COMPUTED_VALUE"""),"Uganda")</f>
        <v>Uganda</v>
      </c>
      <c r="Y232" s="14" t="str">
        <f ca="1">IFERROR(__xludf.DUMMYFUNCTION("""COMPUTED_VALUE"""),"Uganda")</f>
        <v>Uganda</v>
      </c>
      <c r="Z232" s="14" t="str">
        <f ca="1">IFERROR(__xludf.DUMMYFUNCTION("""COMPUTED_VALUE"""),"ยูกันดา")</f>
        <v>ยูกันดา</v>
      </c>
      <c r="AA232" s="14" t="str">
        <f ca="1">IFERROR(__xludf.DUMMYFUNCTION("""COMPUTED_VALUE"""),"Uganda")</f>
        <v>Uganda</v>
      </c>
      <c r="AB232" s="14" t="str">
        <f ca="1">IFERROR(__xludf.DUMMYFUNCTION("""COMPUTED_VALUE"""),"UGANDA")</f>
        <v>UGANDA</v>
      </c>
      <c r="AC232" s="14" t="str">
        <f ca="1">IFERROR(__xludf.DUMMYFUNCTION("""COMPUTED_VALUE"""),"Уганда")</f>
        <v>Уганда</v>
      </c>
      <c r="AD232" s="14" t="str">
        <f ca="1">IFERROR(__xludf.DUMMYFUNCTION("""COMPUTED_VALUE"""),"Uganda")</f>
        <v>Uganda</v>
      </c>
      <c r="AE232" s="14" t="str">
        <f ca="1">IFERROR(__xludf.DUMMYFUNCTION("""COMPUTED_VALUE"""),"Уганда")</f>
        <v>Уганда</v>
      </c>
      <c r="AF232" s="14"/>
    </row>
    <row r="233" spans="1:32" ht="13" x14ac:dyDescent="0.15">
      <c r="A233" s="14" t="str">
        <f ca="1">IFERROR(__xludf.DUMMYFUNCTION("""COMPUTED_VALUE"""),"UK")</f>
        <v>UK</v>
      </c>
      <c r="B233" s="14" t="str">
        <f ca="1">IFERROR(__xludf.DUMMYFUNCTION("""COMPUTED_VALUE"""),"United Kingdom")</f>
        <v>United Kingdom</v>
      </c>
      <c r="C233" s="14" t="str">
        <f ca="1">IFERROR(__xludf.DUMMYFUNCTION("""COMPUTED_VALUE"""),"المملكة المتحدة")</f>
        <v>المملكة المتحدة</v>
      </c>
      <c r="D233" s="14" t="str">
        <f ca="1">IFERROR(__xludf.DUMMYFUNCTION("""COMPUTED_VALUE"""),"Великобритания")</f>
        <v>Великобритания</v>
      </c>
      <c r="E233" s="14" t="str">
        <f ca="1">IFERROR(__xludf.DUMMYFUNCTION("""COMPUTED_VALUE"""),"Grã-Bretanha")</f>
        <v>Grã-Bretanha</v>
      </c>
      <c r="F233" s="14" t="str">
        <f ca="1">IFERROR(__xludf.DUMMYFUNCTION("""COMPUTED_VALUE"""),"Вялікабрытанія")</f>
        <v>Вялікабрытанія</v>
      </c>
      <c r="G233" s="14" t="str">
        <f ca="1">IFERROR(__xludf.DUMMYFUNCTION("""COMPUTED_VALUE"""),"Velká Británie")</f>
        <v>Velká Británie</v>
      </c>
      <c r="H233" s="14" t="str">
        <f ca="1">IFERROR(__xludf.DUMMYFUNCTION("""COMPUTED_VALUE"""),"Großbritannien")</f>
        <v>Großbritannien</v>
      </c>
      <c r="I233" s="14" t="str">
        <f ca="1">IFERROR(__xludf.DUMMYFUNCTION("""COMPUTED_VALUE"""),"Gran Bretaña")</f>
        <v>Gran Bretaña</v>
      </c>
      <c r="J233" s="14" t="str">
        <f ca="1">IFERROR(__xludf.DUMMYFUNCTION("""COMPUTED_VALUE"""),"Iso-Britannia")</f>
        <v>Iso-Britannia</v>
      </c>
      <c r="K233" s="14" t="str">
        <f ca="1">IFERROR(__xludf.DUMMYFUNCTION("""COMPUTED_VALUE"""),"Ηνωμένο Βασίλειο")</f>
        <v>Ηνωμένο Βασίλειο</v>
      </c>
      <c r="L233" s="14" t="str">
        <f ca="1">IFERROR(__xludf.DUMMYFUNCTION("""COMPUTED_VALUE"""),"ΗΝΩΜΕΝΟ ΒΑΣΙΛΕΙΟ")</f>
        <v>ΗΝΩΜΕΝΟ ΒΑΣΙΛΕΙΟ</v>
      </c>
      <c r="M233" s="14" t="str">
        <f ca="1">IFERROR(__xludf.DUMMYFUNCTION("""COMPUTED_VALUE"""),"Velika Britanija")</f>
        <v>Velika Britanija</v>
      </c>
      <c r="N233" s="14" t="str">
        <f ca="1">IFERROR(__xludf.DUMMYFUNCTION("""COMPUTED_VALUE"""),"Egyesült Királyság")</f>
        <v>Egyesült Királyság</v>
      </c>
      <c r="O233" s="14" t="str">
        <f ca="1">IFERROR(__xludf.DUMMYFUNCTION("""COMPUTED_VALUE"""),"Britania Raya")</f>
        <v>Britania Raya</v>
      </c>
      <c r="P233" s="14" t="str">
        <f ca="1">IFERROR(__xludf.DUMMYFUNCTION("""COMPUTED_VALUE"""),"Regno Unito")</f>
        <v>Regno Unito</v>
      </c>
      <c r="Q233" s="14" t="str">
        <f ca="1">IFERROR(__xludf.DUMMYFUNCTION("""COMPUTED_VALUE"""),"영국")</f>
        <v>영국</v>
      </c>
      <c r="R233" s="14" t="str">
        <f ca="1">IFERROR(__xludf.DUMMYFUNCTION("""COMPUTED_VALUE"""),"Wielka Brytania")</f>
        <v>Wielka Brytania</v>
      </c>
      <c r="S233" s="14" t="str">
        <f ca="1">IFERROR(__xludf.DUMMYFUNCTION("""COMPUTED_VALUE"""),"Reino Unido")</f>
        <v>Reino Unido</v>
      </c>
      <c r="T233" s="14" t="str">
        <f ca="1">IFERROR(__xludf.DUMMYFUNCTION("""COMPUTED_VALUE"""),"Regatul Unit")</f>
        <v>Regatul Unit</v>
      </c>
      <c r="U233" s="14" t="str">
        <f ca="1">IFERROR(__xludf.DUMMYFUNCTION("""COMPUTED_VALUE"""),"Ujedinjeno Kraljevstvo")</f>
        <v>Ujedinjeno Kraljevstvo</v>
      </c>
      <c r="V233" s="14" t="str">
        <f ca="1">IFERROR(__xludf.DUMMYFUNCTION("""COMPUTED_VALUE"""),"Великобритания")</f>
        <v>Великобритания</v>
      </c>
      <c r="W233" s="14" t="str">
        <f ca="1">IFERROR(__xludf.DUMMYFUNCTION("""COMPUTED_VALUE"""),"Storbritannien")</f>
        <v>Storbritannien</v>
      </c>
      <c r="X233" s="14" t="str">
        <f ca="1">IFERROR(__xludf.DUMMYFUNCTION("""COMPUTED_VALUE"""),"Združeno kraljestvo Velike Britanije in Severne Irske")</f>
        <v>Združeno kraljestvo Velike Britanije in Severne Irske</v>
      </c>
      <c r="Y233" s="14" t="str">
        <f ca="1">IFERROR(__xludf.DUMMYFUNCTION("""COMPUTED_VALUE"""),"Veľká Británia")</f>
        <v>Veľká Británia</v>
      </c>
      <c r="Z233" s="14" t="str">
        <f ca="1">IFERROR(__xludf.DUMMYFUNCTION("""COMPUTED_VALUE"""),"สหราชอาณาจักร")</f>
        <v>สหราชอาณาจักร</v>
      </c>
      <c r="AA233" s="14" t="str">
        <f ca="1">IFERROR(__xludf.DUMMYFUNCTION("""COMPUTED_VALUE"""),"Birleşik Krallık")</f>
        <v>Birleşik Krallık</v>
      </c>
      <c r="AB233" s="14" t="str">
        <f ca="1">IFERROR(__xludf.DUMMYFUNCTION("""COMPUTED_VALUE"""),"BİRLEŞİK KRALLIK")</f>
        <v>BİRLEŞİK KRALLIK</v>
      </c>
      <c r="AC233" s="14" t="str">
        <f ca="1">IFERROR(__xludf.DUMMYFUNCTION("""COMPUTED_VALUE"""),"Велика Британія")</f>
        <v>Велика Британія</v>
      </c>
      <c r="AD233" s="14" t="str">
        <f ca="1">IFERROR(__xludf.DUMMYFUNCTION("""COMPUTED_VALUE"""),"Anh")</f>
        <v>Anh</v>
      </c>
      <c r="AE233" s="14" t="str">
        <f ca="1">IFERROR(__xludf.DUMMYFUNCTION("""COMPUTED_VALUE"""),"Ұлыбритания")</f>
        <v>Ұлыбритания</v>
      </c>
      <c r="AF233" s="14"/>
    </row>
    <row r="234" spans="1:32" ht="13" x14ac:dyDescent="0.15">
      <c r="A234" s="14" t="str">
        <f ca="1">IFERROR(__xludf.DUMMYFUNCTION("""COMPUTED_VALUE"""),"UM")</f>
        <v>UM</v>
      </c>
      <c r="B234" s="14" t="str">
        <f ca="1">IFERROR(__xludf.DUMMYFUNCTION("""COMPUTED_VALUE"""),"United States Minor Outlying Islands")</f>
        <v>United States Minor Outlying Islands</v>
      </c>
      <c r="C234" s="14" t="str">
        <f ca="1">IFERROR(__xludf.DUMMYFUNCTION("""COMPUTED_VALUE"""),"جزر الولايات المتحدة البعيدة الصغيرة")</f>
        <v>جزر الولايات المتحدة البعيدة الصغيرة</v>
      </c>
      <c r="D234" s="14" t="str">
        <f ca="1">IFERROR(__xludf.DUMMYFUNCTION("""COMPUTED_VALUE"""),"Малки далечни острови на САЩ")</f>
        <v>Малки далечни острови на САЩ</v>
      </c>
      <c r="E234" s="14" t="str">
        <f ca="1">IFERROR(__xludf.DUMMYFUNCTION("""COMPUTED_VALUE"""),"Menores Distantes dos Estados Unidos, Ilhas")</f>
        <v>Menores Distantes dos Estados Unidos, Ilhas</v>
      </c>
      <c r="F234" s="14" t="str">
        <f ca="1">IFERROR(__xludf.DUMMYFUNCTION("""COMPUTED_VALUE"""),"Вонкавыя малыя астравы ЗША")</f>
        <v>Вонкавыя малыя астравы ЗША</v>
      </c>
      <c r="G234" s="14" t="str">
        <f ca="1">IFERROR(__xludf.DUMMYFUNCTION("""COMPUTED_VALUE"""),"Menší odlehlé ostrovy USA")</f>
        <v>Menší odlehlé ostrovy USA</v>
      </c>
      <c r="H234" s="14" t="str">
        <f ca="1">IFERROR(__xludf.DUMMYFUNCTION("""COMPUTED_VALUE"""),"United States Minor Outlying Islands")</f>
        <v>United States Minor Outlying Islands</v>
      </c>
      <c r="I234" s="14" t="str">
        <f ca="1">IFERROR(__xludf.DUMMYFUNCTION("""COMPUTED_VALUE"""),"Islas Ultramarinas Menores de los Estados Unidos (las)")</f>
        <v>Islas Ultramarinas Menores de los Estados Unidos (las)</v>
      </c>
      <c r="J234" s="14" t="str">
        <f ca="1">IFERROR(__xludf.DUMMYFUNCTION("""COMPUTED_VALUE"""),"Yhdysvaltain pienet erillissaaret")</f>
        <v>Yhdysvaltain pienet erillissaaret</v>
      </c>
      <c r="K234" s="14" t="str">
        <f ca="1">IFERROR(__xludf.DUMMYFUNCTION("""COMPUTED_VALUE"""),"Απομακρυσμένες Νησίδες των Ηνωμένων Πολιτειών")</f>
        <v>Απομακρυσμένες Νησίδες των Ηνωμένων Πολιτειών</v>
      </c>
      <c r="L234" s="14" t="str">
        <f ca="1">IFERROR(__xludf.DUMMYFUNCTION("""COMPUTED_VALUE"""),"ΑΠΟΜΑΚΡΥΣΜΕΝΕΣ ΝΗΣΙΔΕΣ ΤΩΝ ΗΝΩΜΕΝΩΝ ΠΟΛΙΤΕΙΩΝ")</f>
        <v>ΑΠΟΜΑΚΡΥΣΜΕΝΕΣ ΝΗΣΙΔΕΣ ΤΩΝ ΗΝΩΜΕΝΩΝ ΠΟΛΙΤΕΙΩΝ</v>
      </c>
      <c r="M234" s="14" t="str">
        <f ca="1">IFERROR(__xludf.DUMMYFUNCTION("""COMPUTED_VALUE"""),"Ujedinjene države manjih pacifičkih otoka SAD")</f>
        <v>Ujedinjene države manjih pacifičkih otoka SAD</v>
      </c>
      <c r="N234" s="14" t="str">
        <f ca="1">IFERROR(__xludf.DUMMYFUNCTION("""COMPUTED_VALUE"""),"Amerikai Csendes-óceáni szigetek")</f>
        <v>Amerikai Csendes-óceáni szigetek</v>
      </c>
      <c r="O234" s="14" t="str">
        <f ca="1">IFERROR(__xludf.DUMMYFUNCTION("""COMPUTED_VALUE"""),"Kepulauan Terluar Kecil Amerika Serikat")</f>
        <v>Kepulauan Terluar Kecil Amerika Serikat</v>
      </c>
      <c r="P234" s="14" t="str">
        <f ca="1">IFERROR(__xludf.DUMMYFUNCTION("""COMPUTED_VALUE"""),"Isole minori esterne degli Stati Uniti")</f>
        <v>Isole minori esterne degli Stati Uniti</v>
      </c>
      <c r="Q234" s="14" t="str">
        <f ca="1">IFERROR(__xludf.DUMMYFUNCTION("""COMPUTED_VALUE"""),"미국령 군소 제도")</f>
        <v>미국령 군소 제도</v>
      </c>
      <c r="R234" s="14" t="str">
        <f ca="1">IFERROR(__xludf.DUMMYFUNCTION("""COMPUTED_VALUE"""),"Dalekie Wyspy Mniejsze Stanów Zjednoczonych")</f>
        <v>Dalekie Wyspy Mniejsze Stanów Zjednoczonych</v>
      </c>
      <c r="S234" s="14" t="str">
        <f ca="1">IFERROR(__xludf.DUMMYFUNCTION("""COMPUTED_VALUE"""),"Menores Distantes dos Estados Unidos, Ilhas")</f>
        <v>Menores Distantes dos Estados Unidos, Ilhas</v>
      </c>
      <c r="T234" s="14" t="str">
        <f ca="1">IFERROR(__xludf.DUMMYFUNCTION("""COMPUTED_VALUE"""),"United States Minor Outlying Islands")</f>
        <v>United States Minor Outlying Islands</v>
      </c>
      <c r="U234" s="14" t="str">
        <f ca="1">IFERROR(__xludf.DUMMYFUNCTION("""COMPUTED_VALUE"""),"Manja udaljena ostrva SAD")</f>
        <v>Manja udaljena ostrva SAD</v>
      </c>
      <c r="V234" s="14" t="str">
        <f ca="1">IFERROR(__xludf.DUMMYFUNCTION("""COMPUTED_VALUE"""),"Внешние малые острова (США)")</f>
        <v>Внешние малые острова (США)</v>
      </c>
      <c r="W234" s="14" t="str">
        <f ca="1">IFERROR(__xludf.DUMMYFUNCTION("""COMPUTED_VALUE"""),"USA:s yttre öar")</f>
        <v>USA:s yttre öar</v>
      </c>
      <c r="X234" s="14" t="str">
        <f ca="1">IFERROR(__xludf.DUMMYFUNCTION("""COMPUTED_VALUE"""),"Manjši zunanji otoki ZDA")</f>
        <v>Manjši zunanji otoki ZDA</v>
      </c>
      <c r="Y234" s="14" t="str">
        <f ca="1">IFERROR(__xludf.DUMMYFUNCTION("""COMPUTED_VALUE"""),"Menšie odľahlé ostrovy USA")</f>
        <v>Menšie odľahlé ostrovy USA</v>
      </c>
      <c r="Z234" s="14" t="str">
        <f ca="1">IFERROR(__xludf.DUMMYFUNCTION("""COMPUTED_VALUE"""),"เกาะเล็กรอบนอกของสหรัฐอเมริกา")</f>
        <v>เกาะเล็กรอบนอกของสหรัฐอเมริกา</v>
      </c>
      <c r="AA234" s="14" t="str">
        <f ca="1">IFERROR(__xludf.DUMMYFUNCTION("""COMPUTED_VALUE"""),"Amerika Birleşik Devletleri Küçük Dış Adaları")</f>
        <v>Amerika Birleşik Devletleri Küçük Dış Adaları</v>
      </c>
      <c r="AB234" s="14" t="str">
        <f ca="1">IFERROR(__xludf.DUMMYFUNCTION("""COMPUTED_VALUE"""),"AMERİKA BİRLEŞİK DEVLETLERİ KÜÇÜK DIŞ ADALARI")</f>
        <v>AMERİKA BİRLEŞİK DEVLETLERİ KÜÇÜK DIŞ ADALARI</v>
      </c>
      <c r="AC234" s="14" t="str">
        <f ca="1">IFERROR(__xludf.DUMMYFUNCTION("""COMPUTED_VALUE"""),"Зовнішні малі острови США")</f>
        <v>Зовнішні малі острови США</v>
      </c>
      <c r="AD234" s="14" t="str">
        <f ca="1">IFERROR(__xludf.DUMMYFUNCTION("""COMPUTED_VALUE"""),"Các tiểu đảo xa của Hoa Kỳ")</f>
        <v>Các tiểu đảo xa của Hoa Kỳ</v>
      </c>
      <c r="AE234" s="14" t="str">
        <f ca="1">IFERROR(__xludf.DUMMYFUNCTION("""COMPUTED_VALUE"""),"АҚШ сыртқы кіші аралдары")</f>
        <v>АҚШ сыртқы кіші аралдары</v>
      </c>
      <c r="AF234" s="14"/>
    </row>
    <row r="235" spans="1:32" ht="13" x14ac:dyDescent="0.15">
      <c r="A235" s="14" t="str">
        <f ca="1">IFERROR(__xludf.DUMMYFUNCTION("""COMPUTED_VALUE"""),"US")</f>
        <v>US</v>
      </c>
      <c r="B235" s="14" t="str">
        <f ca="1">IFERROR(__xludf.DUMMYFUNCTION("""COMPUTED_VALUE"""),"United States")</f>
        <v>United States</v>
      </c>
      <c r="C235" s="14" t="str">
        <f ca="1">IFERROR(__xludf.DUMMYFUNCTION("""COMPUTED_VALUE"""),"الولايات المتحدة الأمريكية")</f>
        <v>الولايات المتحدة الأمريكية</v>
      </c>
      <c r="D235" s="14" t="str">
        <f ca="1">IFERROR(__xludf.DUMMYFUNCTION("""COMPUTED_VALUE"""),"САЩ")</f>
        <v>САЩ</v>
      </c>
      <c r="E235" s="14" t="str">
        <f ca="1">IFERROR(__xludf.DUMMYFUNCTION("""COMPUTED_VALUE"""),"Estados Unidos")</f>
        <v>Estados Unidos</v>
      </c>
      <c r="F235" s="14" t="str">
        <f ca="1">IFERROR(__xludf.DUMMYFUNCTION("""COMPUTED_VALUE"""),"ЗША")</f>
        <v>ЗША</v>
      </c>
      <c r="G235" s="14" t="str">
        <f ca="1">IFERROR(__xludf.DUMMYFUNCTION("""COMPUTED_VALUE"""),"USA")</f>
        <v>USA</v>
      </c>
      <c r="H235" s="14" t="str">
        <f ca="1">IFERROR(__xludf.DUMMYFUNCTION("""COMPUTED_VALUE"""),"USA")</f>
        <v>USA</v>
      </c>
      <c r="I235" s="14" t="str">
        <f ca="1">IFERROR(__xludf.DUMMYFUNCTION("""COMPUTED_VALUE"""),"EE. UU.")</f>
        <v>EE. UU.</v>
      </c>
      <c r="J235" s="14" t="str">
        <f ca="1">IFERROR(__xludf.DUMMYFUNCTION("""COMPUTED_VALUE"""),"Yhdysvallat")</f>
        <v>Yhdysvallat</v>
      </c>
      <c r="K235" s="14" t="str">
        <f ca="1">IFERROR(__xludf.DUMMYFUNCTION("""COMPUTED_VALUE"""),"ΗΠΑ")</f>
        <v>ΗΠΑ</v>
      </c>
      <c r="L235" s="14" t="str">
        <f ca="1">IFERROR(__xludf.DUMMYFUNCTION("""COMPUTED_VALUE"""),"ΗΠΑ")</f>
        <v>ΗΠΑ</v>
      </c>
      <c r="M235" s="14" t="str">
        <f ca="1">IFERROR(__xludf.DUMMYFUNCTION("""COMPUTED_VALUE"""),"SAD")</f>
        <v>SAD</v>
      </c>
      <c r="N235" s="14" t="str">
        <f ca="1">IFERROR(__xludf.DUMMYFUNCTION("""COMPUTED_VALUE"""),"USA")</f>
        <v>USA</v>
      </c>
      <c r="O235" s="14" t="str">
        <f ca="1">IFERROR(__xludf.DUMMYFUNCTION("""COMPUTED_VALUE"""),"Amerika Serikat")</f>
        <v>Amerika Serikat</v>
      </c>
      <c r="P235" s="14" t="str">
        <f ca="1">IFERROR(__xludf.DUMMYFUNCTION("""COMPUTED_VALUE"""),"Stati Uniti")</f>
        <v>Stati Uniti</v>
      </c>
      <c r="Q235" s="14" t="str">
        <f ca="1">IFERROR(__xludf.DUMMYFUNCTION("""COMPUTED_VALUE"""),"미국")</f>
        <v>미국</v>
      </c>
      <c r="R235" s="14" t="str">
        <f ca="1">IFERROR(__xludf.DUMMYFUNCTION("""COMPUTED_VALUE"""),"USA")</f>
        <v>USA</v>
      </c>
      <c r="S235" s="14" t="str">
        <f ca="1">IFERROR(__xludf.DUMMYFUNCTION("""COMPUTED_VALUE"""),"Estados Unidos")</f>
        <v>Estados Unidos</v>
      </c>
      <c r="T235" s="14" t="str">
        <f ca="1">IFERROR(__xludf.DUMMYFUNCTION("""COMPUTED_VALUE"""),"SUA")</f>
        <v>SUA</v>
      </c>
      <c r="U235" s="14" t="str">
        <f ca="1">IFERROR(__xludf.DUMMYFUNCTION("""COMPUTED_VALUE"""),"SAD")</f>
        <v>SAD</v>
      </c>
      <c r="V235" s="14" t="str">
        <f ca="1">IFERROR(__xludf.DUMMYFUNCTION("""COMPUTED_VALUE"""),"США")</f>
        <v>США</v>
      </c>
      <c r="W235" s="14" t="str">
        <f ca="1">IFERROR(__xludf.DUMMYFUNCTION("""COMPUTED_VALUE"""),"USA")</f>
        <v>USA</v>
      </c>
      <c r="X235" s="14" t="str">
        <f ca="1">IFERROR(__xludf.DUMMYFUNCTION("""COMPUTED_VALUE"""),"Združene države Amerike")</f>
        <v>Združene države Amerike</v>
      </c>
      <c r="Y235" s="14" t="str">
        <f ca="1">IFERROR(__xludf.DUMMYFUNCTION("""COMPUTED_VALUE"""),"Spojené štáty")</f>
        <v>Spojené štáty</v>
      </c>
      <c r="Z235" s="14" t="str">
        <f ca="1">IFERROR(__xludf.DUMMYFUNCTION("""COMPUTED_VALUE"""),"สหรัฐ")</f>
        <v>สหรัฐ</v>
      </c>
      <c r="AA235" s="14" t="str">
        <f ca="1">IFERROR(__xludf.DUMMYFUNCTION("""COMPUTED_VALUE"""),"ABD")</f>
        <v>ABD</v>
      </c>
      <c r="AB235" s="14" t="str">
        <f ca="1">IFERROR(__xludf.DUMMYFUNCTION("""COMPUTED_VALUE"""),"ABD")</f>
        <v>ABD</v>
      </c>
      <c r="AC235" s="14" t="str">
        <f ca="1">IFERROR(__xludf.DUMMYFUNCTION("""COMPUTED_VALUE"""),"США")</f>
        <v>США</v>
      </c>
      <c r="AD235" s="14" t="str">
        <f ca="1">IFERROR(__xludf.DUMMYFUNCTION("""COMPUTED_VALUE"""),"Hoa Kỳ")</f>
        <v>Hoa Kỳ</v>
      </c>
      <c r="AE235" s="14" t="str">
        <f ca="1">IFERROR(__xludf.DUMMYFUNCTION("""COMPUTED_VALUE"""),"АҚШ")</f>
        <v>АҚШ</v>
      </c>
      <c r="AF235" s="14"/>
    </row>
    <row r="236" spans="1:32" ht="13" x14ac:dyDescent="0.15">
      <c r="A236" s="14" t="str">
        <f ca="1">IFERROR(__xludf.DUMMYFUNCTION("""COMPUTED_VALUE"""),"UY")</f>
        <v>UY</v>
      </c>
      <c r="B236" s="14" t="str">
        <f ca="1">IFERROR(__xludf.DUMMYFUNCTION("""COMPUTED_VALUE"""),"Uruguay")</f>
        <v>Uruguay</v>
      </c>
      <c r="C236" s="14" t="str">
        <f ca="1">IFERROR(__xludf.DUMMYFUNCTION("""COMPUTED_VALUE"""),"أورجواي")</f>
        <v>أورجواي</v>
      </c>
      <c r="D236" s="14" t="str">
        <f ca="1">IFERROR(__xludf.DUMMYFUNCTION("""COMPUTED_VALUE"""),"Уругвай")</f>
        <v>Уругвай</v>
      </c>
      <c r="E236" s="14" t="str">
        <f ca="1">IFERROR(__xludf.DUMMYFUNCTION("""COMPUTED_VALUE"""),"Uruguai")</f>
        <v>Uruguai</v>
      </c>
      <c r="F236" s="14" t="str">
        <f ca="1">IFERROR(__xludf.DUMMYFUNCTION("""COMPUTED_VALUE"""),"Уругвай")</f>
        <v>Уругвай</v>
      </c>
      <c r="G236" s="14" t="str">
        <f ca="1">IFERROR(__xludf.DUMMYFUNCTION("""COMPUTED_VALUE"""),"Uruguay")</f>
        <v>Uruguay</v>
      </c>
      <c r="H236" s="14" t="str">
        <f ca="1">IFERROR(__xludf.DUMMYFUNCTION("""COMPUTED_VALUE"""),"Uruguay")</f>
        <v>Uruguay</v>
      </c>
      <c r="I236" s="14" t="str">
        <f ca="1">IFERROR(__xludf.DUMMYFUNCTION("""COMPUTED_VALUE"""),"Uruguay")</f>
        <v>Uruguay</v>
      </c>
      <c r="J236" s="14" t="str">
        <f ca="1">IFERROR(__xludf.DUMMYFUNCTION("""COMPUTED_VALUE"""),"Uruguay")</f>
        <v>Uruguay</v>
      </c>
      <c r="K236" s="14" t="str">
        <f ca="1">IFERROR(__xludf.DUMMYFUNCTION("""COMPUTED_VALUE"""),"Ουρουγουάη")</f>
        <v>Ουρουγουάη</v>
      </c>
      <c r="L236" s="14" t="str">
        <f ca="1">IFERROR(__xludf.DUMMYFUNCTION("""COMPUTED_VALUE"""),"ΟΥΡΟΥΓΟΥΑΗ")</f>
        <v>ΟΥΡΟΥΓΟΥΑΗ</v>
      </c>
      <c r="M236" s="14" t="str">
        <f ca="1">IFERROR(__xludf.DUMMYFUNCTION("""COMPUTED_VALUE"""),"Urugvaj")</f>
        <v>Urugvaj</v>
      </c>
      <c r="N236" s="14" t="str">
        <f ca="1">IFERROR(__xludf.DUMMYFUNCTION("""COMPUTED_VALUE"""),"Uruguay")</f>
        <v>Uruguay</v>
      </c>
      <c r="O236" s="14" t="str">
        <f ca="1">IFERROR(__xludf.DUMMYFUNCTION("""COMPUTED_VALUE"""),"Uruguay")</f>
        <v>Uruguay</v>
      </c>
      <c r="P236" s="14" t="str">
        <f ca="1">IFERROR(__xludf.DUMMYFUNCTION("""COMPUTED_VALUE"""),"Uruguay")</f>
        <v>Uruguay</v>
      </c>
      <c r="Q236" s="14" t="str">
        <f ca="1">IFERROR(__xludf.DUMMYFUNCTION("""COMPUTED_VALUE"""),"우루과이")</f>
        <v>우루과이</v>
      </c>
      <c r="R236" s="14" t="str">
        <f ca="1">IFERROR(__xludf.DUMMYFUNCTION("""COMPUTED_VALUE"""),"Urugwaj")</f>
        <v>Urugwaj</v>
      </c>
      <c r="S236" s="14" t="str">
        <f ca="1">IFERROR(__xludf.DUMMYFUNCTION("""COMPUTED_VALUE"""),"Uruguai")</f>
        <v>Uruguai</v>
      </c>
      <c r="T236" s="14" t="str">
        <f ca="1">IFERROR(__xludf.DUMMYFUNCTION("""COMPUTED_VALUE"""),"Uruguay")</f>
        <v>Uruguay</v>
      </c>
      <c r="U236" s="14" t="str">
        <f ca="1">IFERROR(__xludf.DUMMYFUNCTION("""COMPUTED_VALUE"""),"Urugvaj")</f>
        <v>Urugvaj</v>
      </c>
      <c r="V236" s="14" t="str">
        <f ca="1">IFERROR(__xludf.DUMMYFUNCTION("""COMPUTED_VALUE"""),"Уругвай")</f>
        <v>Уругвай</v>
      </c>
      <c r="W236" s="14" t="str">
        <f ca="1">IFERROR(__xludf.DUMMYFUNCTION("""COMPUTED_VALUE"""),"Uruguay")</f>
        <v>Uruguay</v>
      </c>
      <c r="X236" s="14" t="str">
        <f ca="1">IFERROR(__xludf.DUMMYFUNCTION("""COMPUTED_VALUE"""),"Urugvaj")</f>
        <v>Urugvaj</v>
      </c>
      <c r="Y236" s="14" t="str">
        <f ca="1">IFERROR(__xludf.DUMMYFUNCTION("""COMPUTED_VALUE"""),"Uruguaj")</f>
        <v>Uruguaj</v>
      </c>
      <c r="Z236" s="14" t="str">
        <f ca="1">IFERROR(__xludf.DUMMYFUNCTION("""COMPUTED_VALUE"""),"อุรุกวัย")</f>
        <v>อุรุกวัย</v>
      </c>
      <c r="AA236" s="14" t="str">
        <f ca="1">IFERROR(__xludf.DUMMYFUNCTION("""COMPUTED_VALUE"""),"Uruguay")</f>
        <v>Uruguay</v>
      </c>
      <c r="AB236" s="14" t="str">
        <f ca="1">IFERROR(__xludf.DUMMYFUNCTION("""COMPUTED_VALUE"""),"URUGUAY")</f>
        <v>URUGUAY</v>
      </c>
      <c r="AC236" s="14" t="str">
        <f ca="1">IFERROR(__xludf.DUMMYFUNCTION("""COMPUTED_VALUE"""),"Уругвай")</f>
        <v>Уругвай</v>
      </c>
      <c r="AD236" s="14" t="str">
        <f ca="1">IFERROR(__xludf.DUMMYFUNCTION("""COMPUTED_VALUE"""),"Uruguay")</f>
        <v>Uruguay</v>
      </c>
      <c r="AE236" s="14" t="str">
        <f ca="1">IFERROR(__xludf.DUMMYFUNCTION("""COMPUTED_VALUE"""),"Уругвай")</f>
        <v>Уругвай</v>
      </c>
      <c r="AF236" s="14"/>
    </row>
    <row r="237" spans="1:32" ht="13" x14ac:dyDescent="0.15">
      <c r="A237" s="14" t="str">
        <f ca="1">IFERROR(__xludf.DUMMYFUNCTION("""COMPUTED_VALUE"""),"UZ")</f>
        <v>UZ</v>
      </c>
      <c r="B237" s="14" t="str">
        <f ca="1">IFERROR(__xludf.DUMMYFUNCTION("""COMPUTED_VALUE"""),"Uzbekistan")</f>
        <v>Uzbekistan</v>
      </c>
      <c r="C237" s="14" t="str">
        <f ca="1">IFERROR(__xludf.DUMMYFUNCTION("""COMPUTED_VALUE"""),"أوزبكستان")</f>
        <v>أوزبكستان</v>
      </c>
      <c r="D237" s="14" t="str">
        <f ca="1">IFERROR(__xludf.DUMMYFUNCTION("""COMPUTED_VALUE"""),"Узбекистан")</f>
        <v>Узбекистан</v>
      </c>
      <c r="E237" s="14" t="str">
        <f ca="1">IFERROR(__xludf.DUMMYFUNCTION("""COMPUTED_VALUE"""),"Usbequistão")</f>
        <v>Usbequistão</v>
      </c>
      <c r="F237" s="14" t="str">
        <f ca="1">IFERROR(__xludf.DUMMYFUNCTION("""COMPUTED_VALUE"""),"Узбекістан")</f>
        <v>Узбекістан</v>
      </c>
      <c r="G237" s="14" t="str">
        <f ca="1">IFERROR(__xludf.DUMMYFUNCTION("""COMPUTED_VALUE"""),"Uzbekistán")</f>
        <v>Uzbekistán</v>
      </c>
      <c r="H237" s="14" t="str">
        <f ca="1">IFERROR(__xludf.DUMMYFUNCTION("""COMPUTED_VALUE"""),"Usbekistan")</f>
        <v>Usbekistan</v>
      </c>
      <c r="I237" s="14" t="str">
        <f ca="1">IFERROR(__xludf.DUMMYFUNCTION("""COMPUTED_VALUE"""),"Uzbekistán")</f>
        <v>Uzbekistán</v>
      </c>
      <c r="J237" s="14" t="str">
        <f ca="1">IFERROR(__xludf.DUMMYFUNCTION("""COMPUTED_VALUE"""),"Uzbekistan")</f>
        <v>Uzbekistan</v>
      </c>
      <c r="K237" s="14" t="str">
        <f ca="1">IFERROR(__xludf.DUMMYFUNCTION("""COMPUTED_VALUE"""),"Ουζμπεκιστάν")</f>
        <v>Ουζμπεκιστάν</v>
      </c>
      <c r="L237" s="14" t="str">
        <f ca="1">IFERROR(__xludf.DUMMYFUNCTION("""COMPUTED_VALUE"""),"ΟΥΖΜΠΕΚΙΣΤΑΝ")</f>
        <v>ΟΥΖΜΠΕΚΙΣΤΑΝ</v>
      </c>
      <c r="M237" s="14" t="str">
        <f ca="1">IFERROR(__xludf.DUMMYFUNCTION("""COMPUTED_VALUE"""),"Uzbekistan")</f>
        <v>Uzbekistan</v>
      </c>
      <c r="N237" s="14" t="str">
        <f ca="1">IFERROR(__xludf.DUMMYFUNCTION("""COMPUTED_VALUE"""),"Üzbegisztán")</f>
        <v>Üzbegisztán</v>
      </c>
      <c r="O237" s="14" t="str">
        <f ca="1">IFERROR(__xludf.DUMMYFUNCTION("""COMPUTED_VALUE"""),"Uzbekistan")</f>
        <v>Uzbekistan</v>
      </c>
      <c r="P237" s="14" t="str">
        <f ca="1">IFERROR(__xludf.DUMMYFUNCTION("""COMPUTED_VALUE"""),"Uzbekistan")</f>
        <v>Uzbekistan</v>
      </c>
      <c r="Q237" s="14" t="str">
        <f ca="1">IFERROR(__xludf.DUMMYFUNCTION("""COMPUTED_VALUE"""),"우즈베키스탄")</f>
        <v>우즈베키스탄</v>
      </c>
      <c r="R237" s="14" t="str">
        <f ca="1">IFERROR(__xludf.DUMMYFUNCTION("""COMPUTED_VALUE"""),"Uzbekistan")</f>
        <v>Uzbekistan</v>
      </c>
      <c r="S237" s="14" t="str">
        <f ca="1">IFERROR(__xludf.DUMMYFUNCTION("""COMPUTED_VALUE"""),"Usbequistão")</f>
        <v>Usbequistão</v>
      </c>
      <c r="T237" s="14" t="str">
        <f ca="1">IFERROR(__xludf.DUMMYFUNCTION("""COMPUTED_VALUE"""),"Uzbekistan")</f>
        <v>Uzbekistan</v>
      </c>
      <c r="U237" s="14" t="str">
        <f ca="1">IFERROR(__xludf.DUMMYFUNCTION("""COMPUTED_VALUE"""),"Uzbekistan")</f>
        <v>Uzbekistan</v>
      </c>
      <c r="V237" s="14" t="str">
        <f ca="1">IFERROR(__xludf.DUMMYFUNCTION("""COMPUTED_VALUE"""),"Узбекистан")</f>
        <v>Узбекистан</v>
      </c>
      <c r="W237" s="14" t="str">
        <f ca="1">IFERROR(__xludf.DUMMYFUNCTION("""COMPUTED_VALUE"""),"Uzbekistan")</f>
        <v>Uzbekistan</v>
      </c>
      <c r="X237" s="14" t="str">
        <f ca="1">IFERROR(__xludf.DUMMYFUNCTION("""COMPUTED_VALUE"""),"Uzbekistan")</f>
        <v>Uzbekistan</v>
      </c>
      <c r="Y237" s="14" t="str">
        <f ca="1">IFERROR(__xludf.DUMMYFUNCTION("""COMPUTED_VALUE"""),"Uzbekistan")</f>
        <v>Uzbekistan</v>
      </c>
      <c r="Z237" s="14" t="str">
        <f ca="1">IFERROR(__xludf.DUMMYFUNCTION("""COMPUTED_VALUE"""),"อุซเบกิสถาน")</f>
        <v>อุซเบกิสถาน</v>
      </c>
      <c r="AA237" s="14" t="str">
        <f ca="1">IFERROR(__xludf.DUMMYFUNCTION("""COMPUTED_VALUE"""),"Özbekistan")</f>
        <v>Özbekistan</v>
      </c>
      <c r="AB237" s="14" t="str">
        <f ca="1">IFERROR(__xludf.DUMMYFUNCTION("""COMPUTED_VALUE"""),"ÖZBEKİSTAN")</f>
        <v>ÖZBEKİSTAN</v>
      </c>
      <c r="AC237" s="14" t="str">
        <f ca="1">IFERROR(__xludf.DUMMYFUNCTION("""COMPUTED_VALUE"""),"Узбекистан")</f>
        <v>Узбекистан</v>
      </c>
      <c r="AD237" s="14" t="str">
        <f ca="1">IFERROR(__xludf.DUMMYFUNCTION("""COMPUTED_VALUE"""),"Uzbekistan")</f>
        <v>Uzbekistan</v>
      </c>
      <c r="AE237" s="14" t="str">
        <f ca="1">IFERROR(__xludf.DUMMYFUNCTION("""COMPUTED_VALUE"""),"Өзбекстан")</f>
        <v>Өзбекстан</v>
      </c>
      <c r="AF237" s="14"/>
    </row>
    <row r="238" spans="1:32" ht="13" x14ac:dyDescent="0.15">
      <c r="A238" s="14" t="str">
        <f ca="1">IFERROR(__xludf.DUMMYFUNCTION("""COMPUTED_VALUE"""),"VA")</f>
        <v>VA</v>
      </c>
      <c r="B238" s="14" t="str">
        <f ca="1">IFERROR(__xludf.DUMMYFUNCTION("""COMPUTED_VALUE"""),"Holy See (Vatican City State)")</f>
        <v>Holy See (Vatican City State)</v>
      </c>
      <c r="C238" s="14" t="str">
        <f ca="1">IFERROR(__xludf.DUMMYFUNCTION("""COMPUTED_VALUE"""),"الفاتيكان")</f>
        <v>الفاتيكان</v>
      </c>
      <c r="D238" s="14" t="str">
        <f ca="1">IFERROR(__xludf.DUMMYFUNCTION("""COMPUTED_VALUE"""),"Ватикан")</f>
        <v>Ватикан</v>
      </c>
      <c r="E238" s="14" t="str">
        <f ca="1">IFERROR(__xludf.DUMMYFUNCTION("""COMPUTED_VALUE"""),"Vaticano")</f>
        <v>Vaticano</v>
      </c>
      <c r="F238" s="14" t="str">
        <f ca="1">IFERROR(__xludf.DUMMYFUNCTION("""COMPUTED_VALUE"""),"Ватыкан")</f>
        <v>Ватыкан</v>
      </c>
      <c r="G238" s="14" t="str">
        <f ca="1">IFERROR(__xludf.DUMMYFUNCTION("""COMPUTED_VALUE"""),"Vatikán")</f>
        <v>Vatikán</v>
      </c>
      <c r="H238" s="14" t="str">
        <f ca="1">IFERROR(__xludf.DUMMYFUNCTION("""COMPUTED_VALUE"""),"Vatikanstadt")</f>
        <v>Vatikanstadt</v>
      </c>
      <c r="I238" s="14" t="str">
        <f ca="1">IFERROR(__xludf.DUMMYFUNCTION("""COMPUTED_VALUE"""),"Santa Sede (la)")</f>
        <v>Santa Sede (la)</v>
      </c>
      <c r="J238" s="14" t="str">
        <f ca="1">IFERROR(__xludf.DUMMYFUNCTION("""COMPUTED_VALUE"""),"Vatikaanivaltio")</f>
        <v>Vatikaanivaltio</v>
      </c>
      <c r="K238" s="14" t="str">
        <f ca="1">IFERROR(__xludf.DUMMYFUNCTION("""COMPUTED_VALUE"""),"Βατικανό")</f>
        <v>Βατικανό</v>
      </c>
      <c r="L238" s="14" t="str">
        <f ca="1">IFERROR(__xludf.DUMMYFUNCTION("""COMPUTED_VALUE"""),"ΒΑΤΙΚΑΝΟ")</f>
        <v>ΒΑΤΙΚΑΝΟ</v>
      </c>
      <c r="M238" s="14" t="str">
        <f ca="1">IFERROR(__xludf.DUMMYFUNCTION("""COMPUTED_VALUE"""),"Vatikan")</f>
        <v>Vatikan</v>
      </c>
      <c r="N238" s="14" t="str">
        <f ca="1">IFERROR(__xludf.DUMMYFUNCTION("""COMPUTED_VALUE"""),"Vatikán")</f>
        <v>Vatikán</v>
      </c>
      <c r="O238" s="14" t="str">
        <f ca="1">IFERROR(__xludf.DUMMYFUNCTION("""COMPUTED_VALUE"""),"Vatikan")</f>
        <v>Vatikan</v>
      </c>
      <c r="P238" s="14" t="str">
        <f ca="1">IFERROR(__xludf.DUMMYFUNCTION("""COMPUTED_VALUE"""),"Città del Vaticano")</f>
        <v>Città del Vaticano</v>
      </c>
      <c r="Q238" s="14" t="str">
        <f ca="1">IFERROR(__xludf.DUMMYFUNCTION("""COMPUTED_VALUE"""),"바티칸 시국")</f>
        <v>바티칸 시국</v>
      </c>
      <c r="R238" s="14" t="str">
        <f ca="1">IFERROR(__xludf.DUMMYFUNCTION("""COMPUTED_VALUE"""),"Watykan")</f>
        <v>Watykan</v>
      </c>
      <c r="S238" s="14" t="str">
        <f ca="1">IFERROR(__xludf.DUMMYFUNCTION("""COMPUTED_VALUE"""),"Vaticano")</f>
        <v>Vaticano</v>
      </c>
      <c r="T238" s="14" t="str">
        <f ca="1">IFERROR(__xludf.DUMMYFUNCTION("""COMPUTED_VALUE"""),"Vatican")</f>
        <v>Vatican</v>
      </c>
      <c r="U238" s="14" t="str">
        <f ca="1">IFERROR(__xludf.DUMMYFUNCTION("""COMPUTED_VALUE"""),"Vatikan")</f>
        <v>Vatikan</v>
      </c>
      <c r="V238" s="14" t="str">
        <f ca="1">IFERROR(__xludf.DUMMYFUNCTION("""COMPUTED_VALUE"""),"Ватикан")</f>
        <v>Ватикан</v>
      </c>
      <c r="W238" s="14" t="str">
        <f ca="1">IFERROR(__xludf.DUMMYFUNCTION("""COMPUTED_VALUE"""),"Vatikanstaten")</f>
        <v>Vatikanstaten</v>
      </c>
      <c r="X238" s="14" t="str">
        <f ca="1">IFERROR(__xludf.DUMMYFUNCTION("""COMPUTED_VALUE"""),"Vatikan")</f>
        <v>Vatikan</v>
      </c>
      <c r="Y238" s="14" t="str">
        <f ca="1">IFERROR(__xludf.DUMMYFUNCTION("""COMPUTED_VALUE"""),"Vatikán")</f>
        <v>Vatikán</v>
      </c>
      <c r="Z238" s="14" t="str">
        <f ca="1">IFERROR(__xludf.DUMMYFUNCTION("""COMPUTED_VALUE"""),"นครรัฐวาติกัน")</f>
        <v>นครรัฐวาติกัน</v>
      </c>
      <c r="AA238" s="14" t="str">
        <f ca="1">IFERROR(__xludf.DUMMYFUNCTION("""COMPUTED_VALUE"""),"Vatikan")</f>
        <v>Vatikan</v>
      </c>
      <c r="AB238" s="14" t="str">
        <f ca="1">IFERROR(__xludf.DUMMYFUNCTION("""COMPUTED_VALUE"""),"VATİKAN")</f>
        <v>VATİKAN</v>
      </c>
      <c r="AC238" s="14" t="str">
        <f ca="1">IFERROR(__xludf.DUMMYFUNCTION("""COMPUTED_VALUE"""),"Ватикан")</f>
        <v>Ватикан</v>
      </c>
      <c r="AD238" s="14" t="str">
        <f ca="1">IFERROR(__xludf.DUMMYFUNCTION("""COMPUTED_VALUE"""),"Vatican")</f>
        <v>Vatican</v>
      </c>
      <c r="AE238" s="14" t="str">
        <f ca="1">IFERROR(__xludf.DUMMYFUNCTION("""COMPUTED_VALUE"""),"Ватикан")</f>
        <v>Ватикан</v>
      </c>
      <c r="AF238" s="14"/>
    </row>
    <row r="239" spans="1:32" ht="13" x14ac:dyDescent="0.15">
      <c r="A239" s="14" t="str">
        <f ca="1">IFERROR(__xludf.DUMMYFUNCTION("""COMPUTED_VALUE"""),"VC")</f>
        <v>VC</v>
      </c>
      <c r="B239" s="14" t="str">
        <f ca="1">IFERROR(__xludf.DUMMYFUNCTION("""COMPUTED_VALUE"""),"Saint Vincent and the Grenadines")</f>
        <v>Saint Vincent and the Grenadines</v>
      </c>
      <c r="C239" s="14" t="str">
        <f ca="1">IFERROR(__xludf.DUMMYFUNCTION("""COMPUTED_VALUE"""),"سانت فنسنت وغرنادين")</f>
        <v>سانت فنسنت وغرنادين</v>
      </c>
      <c r="D239" s="14" t="str">
        <f ca="1">IFERROR(__xludf.DUMMYFUNCTION("""COMPUTED_VALUE"""),"Сейнт Винсънт и Гренадини")</f>
        <v>Сейнт Винсънт и Гренадини</v>
      </c>
      <c r="E239" s="14" t="str">
        <f ca="1">IFERROR(__xludf.DUMMYFUNCTION("""COMPUTED_VALUE"""),"São Vicente e Granadinas")</f>
        <v>São Vicente e Granadinas</v>
      </c>
      <c r="F239" s="14" t="str">
        <f ca="1">IFERROR(__xludf.DUMMYFUNCTION("""COMPUTED_VALUE"""),"Сент-Вінсент і Грэнадзіны")</f>
        <v>Сент-Вінсент і Грэнадзіны</v>
      </c>
      <c r="G239" s="14" t="str">
        <f ca="1">IFERROR(__xludf.DUMMYFUNCTION("""COMPUTED_VALUE"""),"Svatý Vincenc a Grenadiny")</f>
        <v>Svatý Vincenc a Grenadiny</v>
      </c>
      <c r="H239" s="14" t="str">
        <f ca="1">IFERROR(__xludf.DUMMYFUNCTION("""COMPUTED_VALUE"""),"St. Vincent und die Grenadinen")</f>
        <v>St. Vincent und die Grenadinen</v>
      </c>
      <c r="I239" s="14" t="str">
        <f ca="1">IFERROR(__xludf.DUMMYFUNCTION("""COMPUTED_VALUE"""),"San Vicente y las Granadinas")</f>
        <v>San Vicente y las Granadinas</v>
      </c>
      <c r="J239" s="14" t="str">
        <f ca="1">IFERROR(__xludf.DUMMYFUNCTION("""COMPUTED_VALUE"""),"Saint Vincent ja Grenadiinit")</f>
        <v>Saint Vincent ja Grenadiinit</v>
      </c>
      <c r="K239" s="14" t="str">
        <f ca="1">IFERROR(__xludf.DUMMYFUNCTION("""COMPUTED_VALUE"""),"Άγιος Βικέντιος και Γρεναδίνες")</f>
        <v>Άγιος Βικέντιος και Γρεναδίνες</v>
      </c>
      <c r="L239" s="14" t="str">
        <f ca="1">IFERROR(__xludf.DUMMYFUNCTION("""COMPUTED_VALUE"""),"ΑΓΙΟΣ ΒΙΚΕΝΤΙΟΣ ΚΑΙ ΓΡΕΝΑΔΙΝΕΣ")</f>
        <v>ΑΓΙΟΣ ΒΙΚΕΝΤΙΟΣ ΚΑΙ ΓΡΕΝΑΔΙΝΕΣ</v>
      </c>
      <c r="M239" s="14" t="str">
        <f ca="1">IFERROR(__xludf.DUMMYFUNCTION("""COMPUTED_VALUE"""),"Sveti Vincent i Grenadini")</f>
        <v>Sveti Vincent i Grenadini</v>
      </c>
      <c r="N239" s="14" t="str">
        <f ca="1">IFERROR(__xludf.DUMMYFUNCTION("""COMPUTED_VALUE"""),"Saint Vincent és a Grenadine-szigetek")</f>
        <v>Saint Vincent és a Grenadine-szigetek</v>
      </c>
      <c r="O239" s="14" t="str">
        <f ca="1">IFERROR(__xludf.DUMMYFUNCTION("""COMPUTED_VALUE"""),"Saint Vincent dan Grenadines")</f>
        <v>Saint Vincent dan Grenadines</v>
      </c>
      <c r="P239" s="14" t="str">
        <f ca="1">IFERROR(__xludf.DUMMYFUNCTION("""COMPUTED_VALUE"""),"Saint Vincent e Grenadine")</f>
        <v>Saint Vincent e Grenadine</v>
      </c>
      <c r="Q239" s="14" t="str">
        <f ca="1">IFERROR(__xludf.DUMMYFUNCTION("""COMPUTED_VALUE"""),"세인트빈센트 그레나딘")</f>
        <v>세인트빈센트 그레나딘</v>
      </c>
      <c r="R239" s="14" t="str">
        <f ca="1">IFERROR(__xludf.DUMMYFUNCTION("""COMPUTED_VALUE"""),"Saint Vincent i Grenadyny")</f>
        <v>Saint Vincent i Grenadyny</v>
      </c>
      <c r="S239" s="14" t="str">
        <f ca="1">IFERROR(__xludf.DUMMYFUNCTION("""COMPUTED_VALUE"""),"São Vicente e Granadinas")</f>
        <v>São Vicente e Granadinas</v>
      </c>
      <c r="T239" s="14" t="str">
        <f ca="1">IFERROR(__xludf.DUMMYFUNCTION("""COMPUTED_VALUE"""),"Sfântul Vincent și Grenadine")</f>
        <v>Sfântul Vincent și Grenadine</v>
      </c>
      <c r="U239" s="14" t="str">
        <f ca="1">IFERROR(__xludf.DUMMYFUNCTION("""COMPUTED_VALUE"""),"Sveti Vinsent i Grenadini")</f>
        <v>Sveti Vinsent i Grenadini</v>
      </c>
      <c r="V239" s="14" t="str">
        <f ca="1">IFERROR(__xludf.DUMMYFUNCTION("""COMPUTED_VALUE"""),"Сент-Винсент и Гренадины")</f>
        <v>Сент-Винсент и Гренадины</v>
      </c>
      <c r="W239" s="14" t="str">
        <f ca="1">IFERROR(__xludf.DUMMYFUNCTION("""COMPUTED_VALUE"""),"Saint Vincent och Grenadinerna")</f>
        <v>Saint Vincent och Grenadinerna</v>
      </c>
      <c r="X239" s="14" t="str">
        <f ca="1">IFERROR(__xludf.DUMMYFUNCTION("""COMPUTED_VALUE"""),"Saint Vincent in Grenadine")</f>
        <v>Saint Vincent in Grenadine</v>
      </c>
      <c r="Y239" s="14" t="str">
        <f ca="1">IFERROR(__xludf.DUMMYFUNCTION("""COMPUTED_VALUE"""),"Svätý Vincent a Grenadíny")</f>
        <v>Svätý Vincent a Grenadíny</v>
      </c>
      <c r="Z239" s="14" t="str">
        <f ca="1">IFERROR(__xludf.DUMMYFUNCTION("""COMPUTED_VALUE"""),"เซนต์วินเซนต์และเกรนาดีนส์")</f>
        <v>เซนต์วินเซนต์และเกรนาดีนส์</v>
      </c>
      <c r="AA239" s="14" t="str">
        <f ca="1">IFERROR(__xludf.DUMMYFUNCTION("""COMPUTED_VALUE"""),"Saint Vincent ve Grenadinler")</f>
        <v>Saint Vincent ve Grenadinler</v>
      </c>
      <c r="AB239" s="14" t="str">
        <f ca="1">IFERROR(__xludf.DUMMYFUNCTION("""COMPUTED_VALUE"""),"SAİNT VİNCENT VE GRENADİNLER")</f>
        <v>SAİNT VİNCENT VE GRENADİNLER</v>
      </c>
      <c r="AC239" s="14" t="str">
        <f ca="1">IFERROR(__xludf.DUMMYFUNCTION("""COMPUTED_VALUE"""),"Сент-Вінсент і Гренадини")</f>
        <v>Сент-Вінсент і Гренадини</v>
      </c>
      <c r="AD239" s="14" t="str">
        <f ca="1">IFERROR(__xludf.DUMMYFUNCTION("""COMPUTED_VALUE"""),"Saint Vincent và Grenadines")</f>
        <v>Saint Vincent và Grenadines</v>
      </c>
      <c r="AE239" s="14" t="str">
        <f ca="1">IFERROR(__xludf.DUMMYFUNCTION("""COMPUTED_VALUE"""),"Сент-Винсент және Гренадиндер")</f>
        <v>Сент-Винсент және Гренадиндер</v>
      </c>
      <c r="AF239" s="14"/>
    </row>
    <row r="240" spans="1:32" ht="13" x14ac:dyDescent="0.15">
      <c r="A240" s="14" t="str">
        <f ca="1">IFERROR(__xludf.DUMMYFUNCTION("""COMPUTED_VALUE"""),"VE")</f>
        <v>VE</v>
      </c>
      <c r="B240" s="14" t="str">
        <f ca="1">IFERROR(__xludf.DUMMYFUNCTION("""COMPUTED_VALUE"""),"Venezuela")</f>
        <v>Venezuela</v>
      </c>
      <c r="C240" s="14" t="str">
        <f ca="1">IFERROR(__xludf.DUMMYFUNCTION("""COMPUTED_VALUE"""),"فنزويلا")</f>
        <v>فنزويلا</v>
      </c>
      <c r="D240" s="14" t="str">
        <f ca="1">IFERROR(__xludf.DUMMYFUNCTION("""COMPUTED_VALUE"""),"Венецуела")</f>
        <v>Венецуела</v>
      </c>
      <c r="E240" s="14" t="str">
        <f ca="1">IFERROR(__xludf.DUMMYFUNCTION("""COMPUTED_VALUE"""),"Venezuela")</f>
        <v>Venezuela</v>
      </c>
      <c r="F240" s="14" t="str">
        <f ca="1">IFERROR(__xludf.DUMMYFUNCTION("""COMPUTED_VALUE"""),"Венесуэла")</f>
        <v>Венесуэла</v>
      </c>
      <c r="G240" s="14" t="str">
        <f ca="1">IFERROR(__xludf.DUMMYFUNCTION("""COMPUTED_VALUE"""),"Venezuela")</f>
        <v>Venezuela</v>
      </c>
      <c r="H240" s="14" t="str">
        <f ca="1">IFERROR(__xludf.DUMMYFUNCTION("""COMPUTED_VALUE"""),"Venezuela")</f>
        <v>Venezuela</v>
      </c>
      <c r="I240" s="14" t="str">
        <f ca="1">IFERROR(__xludf.DUMMYFUNCTION("""COMPUTED_VALUE"""),"Venezuela")</f>
        <v>Venezuela</v>
      </c>
      <c r="J240" s="14" t="str">
        <f ca="1">IFERROR(__xludf.DUMMYFUNCTION("""COMPUTED_VALUE"""),"Venezuela")</f>
        <v>Venezuela</v>
      </c>
      <c r="K240" s="14" t="str">
        <f ca="1">IFERROR(__xludf.DUMMYFUNCTION("""COMPUTED_VALUE"""),"Βενεζουέλα")</f>
        <v>Βενεζουέλα</v>
      </c>
      <c r="L240" s="14" t="str">
        <f ca="1">IFERROR(__xludf.DUMMYFUNCTION("""COMPUTED_VALUE"""),"ΒΕΝΕΖΟΥΕΛΑ")</f>
        <v>ΒΕΝΕΖΟΥΕΛΑ</v>
      </c>
      <c r="M240" s="14" t="str">
        <f ca="1">IFERROR(__xludf.DUMMYFUNCTION("""COMPUTED_VALUE"""),"Venezuela")</f>
        <v>Venezuela</v>
      </c>
      <c r="N240" s="14" t="str">
        <f ca="1">IFERROR(__xludf.DUMMYFUNCTION("""COMPUTED_VALUE"""),"Venezuela")</f>
        <v>Venezuela</v>
      </c>
      <c r="O240" s="14" t="str">
        <f ca="1">IFERROR(__xludf.DUMMYFUNCTION("""COMPUTED_VALUE"""),"Venezuela")</f>
        <v>Venezuela</v>
      </c>
      <c r="P240" s="14" t="str">
        <f ca="1">IFERROR(__xludf.DUMMYFUNCTION("""COMPUTED_VALUE"""),"Venezuela")</f>
        <v>Venezuela</v>
      </c>
      <c r="Q240" s="14" t="str">
        <f ca="1">IFERROR(__xludf.DUMMYFUNCTION("""COMPUTED_VALUE"""),"베네수엘라")</f>
        <v>베네수엘라</v>
      </c>
      <c r="R240" s="14" t="str">
        <f ca="1">IFERROR(__xludf.DUMMYFUNCTION("""COMPUTED_VALUE"""),"Wenezuela")</f>
        <v>Wenezuela</v>
      </c>
      <c r="S240" s="14" t="str">
        <f ca="1">IFERROR(__xludf.DUMMYFUNCTION("""COMPUTED_VALUE"""),"Venezuela")</f>
        <v>Venezuela</v>
      </c>
      <c r="T240" s="14" t="str">
        <f ca="1">IFERROR(__xludf.DUMMYFUNCTION("""COMPUTED_VALUE"""),"Venezuela")</f>
        <v>Venezuela</v>
      </c>
      <c r="U240" s="14" t="str">
        <f ca="1">IFERROR(__xludf.DUMMYFUNCTION("""COMPUTED_VALUE"""),"Venecuela")</f>
        <v>Venecuela</v>
      </c>
      <c r="V240" s="14" t="str">
        <f ca="1">IFERROR(__xludf.DUMMYFUNCTION("""COMPUTED_VALUE"""),"Венесуэла")</f>
        <v>Венесуэла</v>
      </c>
      <c r="W240" s="14" t="str">
        <f ca="1">IFERROR(__xludf.DUMMYFUNCTION("""COMPUTED_VALUE"""),"Venezuela")</f>
        <v>Venezuela</v>
      </c>
      <c r="X240" s="14" t="str">
        <f ca="1">IFERROR(__xludf.DUMMYFUNCTION("""COMPUTED_VALUE"""),"Venezuela")</f>
        <v>Venezuela</v>
      </c>
      <c r="Y240" s="14" t="str">
        <f ca="1">IFERROR(__xludf.DUMMYFUNCTION("""COMPUTED_VALUE"""),"Venezuela")</f>
        <v>Venezuela</v>
      </c>
      <c r="Z240" s="14" t="str">
        <f ca="1">IFERROR(__xludf.DUMMYFUNCTION("""COMPUTED_VALUE"""),"เวเนซุเอลา")</f>
        <v>เวเนซุเอลา</v>
      </c>
      <c r="AA240" s="14" t="str">
        <f ca="1">IFERROR(__xludf.DUMMYFUNCTION("""COMPUTED_VALUE"""),"Venezuela")</f>
        <v>Venezuela</v>
      </c>
      <c r="AB240" s="14" t="str">
        <f ca="1">IFERROR(__xludf.DUMMYFUNCTION("""COMPUTED_VALUE"""),"VENEZUELA")</f>
        <v>VENEZUELA</v>
      </c>
      <c r="AC240" s="14" t="str">
        <f ca="1">IFERROR(__xludf.DUMMYFUNCTION("""COMPUTED_VALUE"""),"Венесуела")</f>
        <v>Венесуела</v>
      </c>
      <c r="AD240" s="14" t="str">
        <f ca="1">IFERROR(__xludf.DUMMYFUNCTION("""COMPUTED_VALUE"""),"Venezuela")</f>
        <v>Venezuela</v>
      </c>
      <c r="AE240" s="14" t="str">
        <f ca="1">IFERROR(__xludf.DUMMYFUNCTION("""COMPUTED_VALUE"""),"Венесуэла")</f>
        <v>Венесуэла</v>
      </c>
      <c r="AF240" s="14"/>
    </row>
    <row r="241" spans="1:32" ht="13" x14ac:dyDescent="0.15">
      <c r="A241" s="14" t="str">
        <f ca="1">IFERROR(__xludf.DUMMYFUNCTION("""COMPUTED_VALUE"""),"VG")</f>
        <v>VG</v>
      </c>
      <c r="B241" s="14" t="str">
        <f ca="1">IFERROR(__xludf.DUMMYFUNCTION("""COMPUTED_VALUE"""),"Virgin Islands, British")</f>
        <v>Virgin Islands, British</v>
      </c>
      <c r="C241" s="14" t="str">
        <f ca="1">IFERROR(__xludf.DUMMYFUNCTION("""COMPUTED_VALUE"""),"جزر فرجين البريطانية")</f>
        <v>جزر فرجين البريطانية</v>
      </c>
      <c r="D241" s="14" t="str">
        <f ca="1">IFERROR(__xludf.DUMMYFUNCTION("""COMPUTED_VALUE"""),"Британски Вирджински острови")</f>
        <v>Британски Вирджински острови</v>
      </c>
      <c r="E241" s="14" t="str">
        <f ca="1">IFERROR(__xludf.DUMMYFUNCTION("""COMPUTED_VALUE"""),"Virgens Britânicas, Ilhas")</f>
        <v>Virgens Britânicas, Ilhas</v>
      </c>
      <c r="F241" s="14" t="str">
        <f ca="1">IFERROR(__xludf.DUMMYFUNCTION("""COMPUTED_VALUE"""),"Брытанскія Віргінскія астравы")</f>
        <v>Брытанскія Віргінскія астравы</v>
      </c>
      <c r="G241" s="14" t="str">
        <f ca="1">IFERROR(__xludf.DUMMYFUNCTION("""COMPUTED_VALUE"""),"Britské Panenské ostrovy")</f>
        <v>Britské Panenské ostrovy</v>
      </c>
      <c r="H241" s="14" t="str">
        <f ca="1">IFERROR(__xludf.DUMMYFUNCTION("""COMPUTED_VALUE"""),"Britische Jungferninseln")</f>
        <v>Britische Jungferninseln</v>
      </c>
      <c r="I241" s="14" t="str">
        <f ca="1">IFERROR(__xludf.DUMMYFUNCTION("""COMPUTED_VALUE"""),"Vírgenes británicas, Islas")</f>
        <v>Vírgenes británicas, Islas</v>
      </c>
      <c r="J241" s="14" t="str">
        <f ca="1">IFERROR(__xludf.DUMMYFUNCTION("""COMPUTED_VALUE"""),"Brittiläiset Neitsytsaaret")</f>
        <v>Brittiläiset Neitsytsaaret</v>
      </c>
      <c r="K241" s="14" t="str">
        <f ca="1">IFERROR(__xludf.DUMMYFUNCTION("""COMPUTED_VALUE"""),"Βρετανικές Παρθένοι Νήσοι")</f>
        <v>Βρετανικές Παρθένοι Νήσοι</v>
      </c>
      <c r="L241" s="14" t="str">
        <f ca="1">IFERROR(__xludf.DUMMYFUNCTION("""COMPUTED_VALUE"""),"ΒΡΕΤΑΝΙΚΕΣ ΠΑΡΘΕΝΟΙ ΝΗΣΟΙ")</f>
        <v>ΒΡΕΤΑΝΙΚΕΣ ΠΑΡΘΕΝΟΙ ΝΗΣΟΙ</v>
      </c>
      <c r="M241" s="14" t="str">
        <f ca="1">IFERROR(__xludf.DUMMYFUNCTION("""COMPUTED_VALUE"""),"Britanski Djevičanski otoci")</f>
        <v>Britanski Djevičanski otoci</v>
      </c>
      <c r="N241" s="14" t="str">
        <f ca="1">IFERROR(__xludf.DUMMYFUNCTION("""COMPUTED_VALUE"""),"Brit Virgin-szigetek")</f>
        <v>Brit Virgin-szigetek</v>
      </c>
      <c r="O241" s="14" t="str">
        <f ca="1">IFERROR(__xludf.DUMMYFUNCTION("""COMPUTED_VALUE"""),"Virgin Britania Raya, Kepulauan")</f>
        <v>Virgin Britania Raya, Kepulauan</v>
      </c>
      <c r="P241" s="14" t="str">
        <f ca="1">IFERROR(__xludf.DUMMYFUNCTION("""COMPUTED_VALUE"""),"Isole Vergini britanniche")</f>
        <v>Isole Vergini britanniche</v>
      </c>
      <c r="Q241" s="14" t="str">
        <f ca="1">IFERROR(__xludf.DUMMYFUNCTION("""COMPUTED_VALUE"""),"영국령 버진아일랜드")</f>
        <v>영국령 버진아일랜드</v>
      </c>
      <c r="R241" s="14" t="str">
        <f ca="1">IFERROR(__xludf.DUMMYFUNCTION("""COMPUTED_VALUE"""),"Brytyjskie Wyspy Dziewicze")</f>
        <v>Brytyjskie Wyspy Dziewicze</v>
      </c>
      <c r="S241" s="14" t="str">
        <f ca="1">IFERROR(__xludf.DUMMYFUNCTION("""COMPUTED_VALUE"""),"Virgens Britânicas, Ilhas")</f>
        <v>Virgens Britânicas, Ilhas</v>
      </c>
      <c r="T241" s="14" t="str">
        <f ca="1">IFERROR(__xludf.DUMMYFUNCTION("""COMPUTED_VALUE"""),"Insulele Virgine Britanice")</f>
        <v>Insulele Virgine Britanice</v>
      </c>
      <c r="U241" s="14" t="str">
        <f ca="1">IFERROR(__xludf.DUMMYFUNCTION("""COMPUTED_VALUE"""),"Britanska Devičanska Ostrva")</f>
        <v>Britanska Devičanska Ostrva</v>
      </c>
      <c r="V241" s="14" t="str">
        <f ca="1">IFERROR(__xludf.DUMMYFUNCTION("""COMPUTED_VALUE"""),"Виргинские Острова (Великобритания)")</f>
        <v>Виргинские Острова (Великобритания)</v>
      </c>
      <c r="W241" s="14" t="str">
        <f ca="1">IFERROR(__xludf.DUMMYFUNCTION("""COMPUTED_VALUE"""),"Brittiska Jungfruöarna")</f>
        <v>Brittiska Jungfruöarna</v>
      </c>
      <c r="X241" s="14" t="str">
        <f ca="1">IFERROR(__xludf.DUMMYFUNCTION("""COMPUTED_VALUE"""),"Britanski Deviški otoki")</f>
        <v>Britanski Deviški otoki</v>
      </c>
      <c r="Y241" s="14" t="str">
        <f ca="1">IFERROR(__xludf.DUMMYFUNCTION("""COMPUTED_VALUE"""),"Britské Panenské ostrovy")</f>
        <v>Britské Panenské ostrovy</v>
      </c>
      <c r="Z241" s="14" t="str">
        <f ca="1">IFERROR(__xludf.DUMMYFUNCTION("""COMPUTED_VALUE"""),"หมู่เกาะบริติชเวอร์จิน")</f>
        <v>หมู่เกาะบริติชเวอร์จิน</v>
      </c>
      <c r="AA241" s="14" t="str">
        <f ca="1">IFERROR(__xludf.DUMMYFUNCTION("""COMPUTED_VALUE"""),"İngiliz Virgin Adaları")</f>
        <v>İngiliz Virgin Adaları</v>
      </c>
      <c r="AB241" s="14" t="str">
        <f ca="1">IFERROR(__xludf.DUMMYFUNCTION("""COMPUTED_VALUE"""),"İNGİLİZ VİRGİN ADALARI")</f>
        <v>İNGİLİZ VİRGİN ADALARI</v>
      </c>
      <c r="AC241" s="14" t="str">
        <f ca="1">IFERROR(__xludf.DUMMYFUNCTION("""COMPUTED_VALUE"""),"Британські Віргінські Острови")</f>
        <v>Британські Віргінські Острови</v>
      </c>
      <c r="AD241" s="14" t="str">
        <f ca="1">IFERROR(__xludf.DUMMYFUNCTION("""COMPUTED_VALUE"""),"Quần đảo Virgin thuộc Anh")</f>
        <v>Quần đảo Virgin thuộc Anh</v>
      </c>
      <c r="AE241" s="14" t="str">
        <f ca="1">IFERROR(__xludf.DUMMYFUNCTION("""COMPUTED_VALUE"""),"Британдық Вирджин аралдары")</f>
        <v>Британдық Вирджин аралдары</v>
      </c>
      <c r="AF241" s="14"/>
    </row>
    <row r="242" spans="1:32" ht="13" x14ac:dyDescent="0.15">
      <c r="A242" s="14" t="str">
        <f ca="1">IFERROR(__xludf.DUMMYFUNCTION("""COMPUTED_VALUE"""),"VI")</f>
        <v>VI</v>
      </c>
      <c r="B242" s="14" t="str">
        <f ca="1">IFERROR(__xludf.DUMMYFUNCTION("""COMPUTED_VALUE"""),"Virgin Islands, U.S.")</f>
        <v>Virgin Islands, U.S.</v>
      </c>
      <c r="C242" s="14" t="str">
        <f ca="1">IFERROR(__xludf.DUMMYFUNCTION("""COMPUTED_VALUE"""),"جزر فرجين الأمريكية")</f>
        <v>جزر فرجين الأمريكية</v>
      </c>
      <c r="D242" s="14" t="str">
        <f ca="1">IFERROR(__xludf.DUMMYFUNCTION("""COMPUTED_VALUE"""),"Американски Вирджински острови")</f>
        <v>Американски Вирджински острови</v>
      </c>
      <c r="E242" s="14" t="str">
        <f ca="1">IFERROR(__xludf.DUMMYFUNCTION("""COMPUTED_VALUE"""),"Virgens Americanas, Ilhas")</f>
        <v>Virgens Americanas, Ilhas</v>
      </c>
      <c r="F242" s="14" t="str">
        <f ca="1">IFERROR(__xludf.DUMMYFUNCTION("""COMPUTED_VALUE"""),"Амерыканскія Віргінскія астравы")</f>
        <v>Амерыканскія Віргінскія астравы</v>
      </c>
      <c r="G242" s="14" t="str">
        <f ca="1">IFERROR(__xludf.DUMMYFUNCTION("""COMPUTED_VALUE"""),"Americké Panenské ostrovy")</f>
        <v>Americké Panenské ostrovy</v>
      </c>
      <c r="H242" s="14" t="str">
        <f ca="1">IFERROR(__xludf.DUMMYFUNCTION("""COMPUTED_VALUE"""),"Amerikanische Jungferninseln")</f>
        <v>Amerikanische Jungferninseln</v>
      </c>
      <c r="I242" s="14" t="str">
        <f ca="1">IFERROR(__xludf.DUMMYFUNCTION("""COMPUTED_VALUE"""),"Vírgenes de los Estados Unidos, Islas")</f>
        <v>Vírgenes de los Estados Unidos, Islas</v>
      </c>
      <c r="J242" s="14" t="str">
        <f ca="1">IFERROR(__xludf.DUMMYFUNCTION("""COMPUTED_VALUE"""),"Yhdysvaltain Neitsytsaaret")</f>
        <v>Yhdysvaltain Neitsytsaaret</v>
      </c>
      <c r="K242" s="14" t="str">
        <f ca="1">IFERROR(__xludf.DUMMYFUNCTION("""COMPUTED_VALUE"""),"Αμερικανικές Παρθένοι Νήσοι")</f>
        <v>Αμερικανικές Παρθένοι Νήσοι</v>
      </c>
      <c r="L242" s="14" t="str">
        <f ca="1">IFERROR(__xludf.DUMMYFUNCTION("""COMPUTED_VALUE"""),"ΑΜΕΡΙΚΑΝΙΚΕΣ ΠΑΡΘΕΝΟΙ ΝΗΣΟΙ")</f>
        <v>ΑΜΕΡΙΚΑΝΙΚΕΣ ΠΑΡΘΕΝΟΙ ΝΗΣΟΙ</v>
      </c>
      <c r="M242" s="14" t="str">
        <f ca="1">IFERROR(__xludf.DUMMYFUNCTION("""COMPUTED_VALUE"""),"Američki Djevičanski otoci")</f>
        <v>Američki Djevičanski otoci</v>
      </c>
      <c r="N242" s="14" t="str">
        <f ca="1">IFERROR(__xludf.DUMMYFUNCTION("""COMPUTED_VALUE"""),"Amerikai Virgin-szigetek")</f>
        <v>Amerikai Virgin-szigetek</v>
      </c>
      <c r="O242" s="14" t="str">
        <f ca="1">IFERROR(__xludf.DUMMYFUNCTION("""COMPUTED_VALUE"""),"Virgin Amerika Serikat, Kepulauan")</f>
        <v>Virgin Amerika Serikat, Kepulauan</v>
      </c>
      <c r="P242" s="14" t="str">
        <f ca="1">IFERROR(__xludf.DUMMYFUNCTION("""COMPUTED_VALUE"""),"Isole Vergini americane")</f>
        <v>Isole Vergini americane</v>
      </c>
      <c r="Q242" s="14" t="str">
        <f ca="1">IFERROR(__xludf.DUMMYFUNCTION("""COMPUTED_VALUE"""),"미국령 버진아일랜드")</f>
        <v>미국령 버진아일랜드</v>
      </c>
      <c r="R242" s="14" t="str">
        <f ca="1">IFERROR(__xludf.DUMMYFUNCTION("""COMPUTED_VALUE"""),"Wyspy Dziewicze Stanów Zjednoczonych")</f>
        <v>Wyspy Dziewicze Stanów Zjednoczonych</v>
      </c>
      <c r="S242" s="14" t="str">
        <f ca="1">IFERROR(__xludf.DUMMYFUNCTION("""COMPUTED_VALUE"""),"Virgens Americanas, Ilhas")</f>
        <v>Virgens Americanas, Ilhas</v>
      </c>
      <c r="T242" s="14" t="str">
        <f ca="1">IFERROR(__xludf.DUMMYFUNCTION("""COMPUTED_VALUE"""),"Insulele Virgine Americane")</f>
        <v>Insulele Virgine Americane</v>
      </c>
      <c r="U242" s="14" t="str">
        <f ca="1">IFERROR(__xludf.DUMMYFUNCTION("""COMPUTED_VALUE"""),"Američka Devičanska Ostrva")</f>
        <v>Američka Devičanska Ostrva</v>
      </c>
      <c r="V242" s="14" t="str">
        <f ca="1">IFERROR(__xludf.DUMMYFUNCTION("""COMPUTED_VALUE"""),"Виргинские Острова (США)")</f>
        <v>Виргинские Острова (США)</v>
      </c>
      <c r="W242" s="14" t="str">
        <f ca="1">IFERROR(__xludf.DUMMYFUNCTION("""COMPUTED_VALUE"""),"Amerikanska Jungfruöarna")</f>
        <v>Amerikanska Jungfruöarna</v>
      </c>
      <c r="X242" s="14" t="str">
        <f ca="1">IFERROR(__xludf.DUMMYFUNCTION("""COMPUTED_VALUE"""),"Ameriški Deviški otoki")</f>
        <v>Ameriški Deviški otoki</v>
      </c>
      <c r="Y242" s="14" t="str">
        <f ca="1">IFERROR(__xludf.DUMMYFUNCTION("""COMPUTED_VALUE"""),"Americké Panenské ostrovy")</f>
        <v>Americké Panenské ostrovy</v>
      </c>
      <c r="Z242" s="14" t="str">
        <f ca="1">IFERROR(__xludf.DUMMYFUNCTION("""COMPUTED_VALUE"""),"หมู่เกาะเวอร์จินของสหรัฐอเมริกา")</f>
        <v>หมู่เกาะเวอร์จินของสหรัฐอเมริกา</v>
      </c>
      <c r="AA242" s="14" t="str">
        <f ca="1">IFERROR(__xludf.DUMMYFUNCTION("""COMPUTED_VALUE"""),"ABD Virgin Adaları")</f>
        <v>ABD Virgin Adaları</v>
      </c>
      <c r="AB242" s="14" t="str">
        <f ca="1">IFERROR(__xludf.DUMMYFUNCTION("""COMPUTED_VALUE"""),"ABD VİRGİN ADALARI")</f>
        <v>ABD VİRGİN ADALARI</v>
      </c>
      <c r="AC242" s="14" t="str">
        <f ca="1">IFERROR(__xludf.DUMMYFUNCTION("""COMPUTED_VALUE"""),"Американські Віргінські Острови")</f>
        <v>Американські Віргінські Острови</v>
      </c>
      <c r="AD242" s="14" t="str">
        <f ca="1">IFERROR(__xludf.DUMMYFUNCTION("""COMPUTED_VALUE"""),"Quần đảo Virgin thuộc Mỹ")</f>
        <v>Quần đảo Virgin thuộc Mỹ</v>
      </c>
      <c r="AE242" s="14" t="str">
        <f ca="1">IFERROR(__xludf.DUMMYFUNCTION("""COMPUTED_VALUE"""),"Америкалық Вирджин аралдары")</f>
        <v>Америкалық Вирджин аралдары</v>
      </c>
      <c r="AF242" s="14"/>
    </row>
    <row r="243" spans="1:32" ht="13" x14ac:dyDescent="0.15">
      <c r="A243" s="14" t="str">
        <f ca="1">IFERROR(__xludf.DUMMYFUNCTION("""COMPUTED_VALUE"""),"VN")</f>
        <v>VN</v>
      </c>
      <c r="B243" s="14" t="str">
        <f ca="1">IFERROR(__xludf.DUMMYFUNCTION("""COMPUTED_VALUE"""),"Vietnam")</f>
        <v>Vietnam</v>
      </c>
      <c r="C243" s="14" t="str">
        <f ca="1">IFERROR(__xludf.DUMMYFUNCTION("""COMPUTED_VALUE"""),"فيتنام")</f>
        <v>فيتنام</v>
      </c>
      <c r="D243" s="14" t="str">
        <f ca="1">IFERROR(__xludf.DUMMYFUNCTION("""COMPUTED_VALUE"""),"Виетнам")</f>
        <v>Виетнам</v>
      </c>
      <c r="E243" s="14" t="str">
        <f ca="1">IFERROR(__xludf.DUMMYFUNCTION("""COMPUTED_VALUE"""),"Vietnã")</f>
        <v>Vietnã</v>
      </c>
      <c r="F243" s="14" t="str">
        <f ca="1">IFERROR(__xludf.DUMMYFUNCTION("""COMPUTED_VALUE"""),"В’етнам")</f>
        <v>В’етнам</v>
      </c>
      <c r="G243" s="14" t="str">
        <f ca="1">IFERROR(__xludf.DUMMYFUNCTION("""COMPUTED_VALUE"""),"Vietnam")</f>
        <v>Vietnam</v>
      </c>
      <c r="H243" s="14" t="str">
        <f ca="1">IFERROR(__xludf.DUMMYFUNCTION("""COMPUTED_VALUE"""),"Vietnam")</f>
        <v>Vietnam</v>
      </c>
      <c r="I243" s="14" t="str">
        <f ca="1">IFERROR(__xludf.DUMMYFUNCTION("""COMPUTED_VALUE"""),"Vietnam")</f>
        <v>Vietnam</v>
      </c>
      <c r="J243" s="14" t="str">
        <f ca="1">IFERROR(__xludf.DUMMYFUNCTION("""COMPUTED_VALUE"""),"Vietnam")</f>
        <v>Vietnam</v>
      </c>
      <c r="K243" s="14" t="str">
        <f ca="1">IFERROR(__xludf.DUMMYFUNCTION("""COMPUTED_VALUE"""),"Βιετνάμ")</f>
        <v>Βιετνάμ</v>
      </c>
      <c r="L243" s="14" t="str">
        <f ca="1">IFERROR(__xludf.DUMMYFUNCTION("""COMPUTED_VALUE"""),"ΒΙΕΤΝΑΜ")</f>
        <v>ΒΙΕΤΝΑΜ</v>
      </c>
      <c r="M243" s="14" t="str">
        <f ca="1">IFERROR(__xludf.DUMMYFUNCTION("""COMPUTED_VALUE"""),"Vijetnam")</f>
        <v>Vijetnam</v>
      </c>
      <c r="N243" s="14" t="str">
        <f ca="1">IFERROR(__xludf.DUMMYFUNCTION("""COMPUTED_VALUE"""),"Vietnám")</f>
        <v>Vietnám</v>
      </c>
      <c r="O243" s="14" t="str">
        <f ca="1">IFERROR(__xludf.DUMMYFUNCTION("""COMPUTED_VALUE"""),"Vietnam")</f>
        <v>Vietnam</v>
      </c>
      <c r="P243" s="14" t="str">
        <f ca="1">IFERROR(__xludf.DUMMYFUNCTION("""COMPUTED_VALUE"""),"Vietnam")</f>
        <v>Vietnam</v>
      </c>
      <c r="Q243" s="14" t="str">
        <f ca="1">IFERROR(__xludf.DUMMYFUNCTION("""COMPUTED_VALUE"""),"베트남")</f>
        <v>베트남</v>
      </c>
      <c r="R243" s="14" t="str">
        <f ca="1">IFERROR(__xludf.DUMMYFUNCTION("""COMPUTED_VALUE"""),"Wietnam")</f>
        <v>Wietnam</v>
      </c>
      <c r="S243" s="14" t="str">
        <f ca="1">IFERROR(__xludf.DUMMYFUNCTION("""COMPUTED_VALUE"""),"Vietname")</f>
        <v>Vietname</v>
      </c>
      <c r="T243" s="14" t="str">
        <f ca="1">IFERROR(__xludf.DUMMYFUNCTION("""COMPUTED_VALUE"""),"Vietnam")</f>
        <v>Vietnam</v>
      </c>
      <c r="U243" s="14" t="str">
        <f ca="1">IFERROR(__xludf.DUMMYFUNCTION("""COMPUTED_VALUE"""),"Vijetnam")</f>
        <v>Vijetnam</v>
      </c>
      <c r="V243" s="14" t="str">
        <f ca="1">IFERROR(__xludf.DUMMYFUNCTION("""COMPUTED_VALUE"""),"Вьетнам")</f>
        <v>Вьетнам</v>
      </c>
      <c r="W243" s="14" t="str">
        <f ca="1">IFERROR(__xludf.DUMMYFUNCTION("""COMPUTED_VALUE"""),"Vietnam")</f>
        <v>Vietnam</v>
      </c>
      <c r="X243" s="14" t="str">
        <f ca="1">IFERROR(__xludf.DUMMYFUNCTION("""COMPUTED_VALUE"""),"Vietnam")</f>
        <v>Vietnam</v>
      </c>
      <c r="Y243" s="14" t="str">
        <f ca="1">IFERROR(__xludf.DUMMYFUNCTION("""COMPUTED_VALUE"""),"Vietnam")</f>
        <v>Vietnam</v>
      </c>
      <c r="Z243" s="14" t="str">
        <f ca="1">IFERROR(__xludf.DUMMYFUNCTION("""COMPUTED_VALUE"""),"เวียดนาม")</f>
        <v>เวียดนาม</v>
      </c>
      <c r="AA243" s="14" t="str">
        <f ca="1">IFERROR(__xludf.DUMMYFUNCTION("""COMPUTED_VALUE"""),"Vietnam")</f>
        <v>Vietnam</v>
      </c>
      <c r="AB243" s="14" t="str">
        <f ca="1">IFERROR(__xludf.DUMMYFUNCTION("""COMPUTED_VALUE"""),"VİETNAM")</f>
        <v>VİETNAM</v>
      </c>
      <c r="AC243" s="14" t="str">
        <f ca="1">IFERROR(__xludf.DUMMYFUNCTION("""COMPUTED_VALUE"""),"В’єтнам")</f>
        <v>В’єтнам</v>
      </c>
      <c r="AD243" s="14" t="str">
        <f ca="1">IFERROR(__xludf.DUMMYFUNCTION("""COMPUTED_VALUE"""),"Việt Nam")</f>
        <v>Việt Nam</v>
      </c>
      <c r="AE243" s="14" t="str">
        <f ca="1">IFERROR(__xludf.DUMMYFUNCTION("""COMPUTED_VALUE"""),"Вьетнам")</f>
        <v>Вьетнам</v>
      </c>
      <c r="AF243" s="14"/>
    </row>
    <row r="244" spans="1:32" ht="13" x14ac:dyDescent="0.15">
      <c r="A244" s="14" t="str">
        <f ca="1">IFERROR(__xludf.DUMMYFUNCTION("""COMPUTED_VALUE"""),"VU")</f>
        <v>VU</v>
      </c>
      <c r="B244" s="14" t="str">
        <f ca="1">IFERROR(__xludf.DUMMYFUNCTION("""COMPUTED_VALUE"""),"Vanuatu")</f>
        <v>Vanuatu</v>
      </c>
      <c r="C244" s="14" t="str">
        <f ca="1">IFERROR(__xludf.DUMMYFUNCTION("""COMPUTED_VALUE"""),"فانواتو")</f>
        <v>فانواتو</v>
      </c>
      <c r="D244" s="14" t="str">
        <f ca="1">IFERROR(__xludf.DUMMYFUNCTION("""COMPUTED_VALUE"""),"Вануату")</f>
        <v>Вануату</v>
      </c>
      <c r="E244" s="14" t="str">
        <f ca="1">IFERROR(__xludf.DUMMYFUNCTION("""COMPUTED_VALUE"""),"Vanuatu")</f>
        <v>Vanuatu</v>
      </c>
      <c r="F244" s="14" t="str">
        <f ca="1">IFERROR(__xludf.DUMMYFUNCTION("""COMPUTED_VALUE"""),"Вануату")</f>
        <v>Вануату</v>
      </c>
      <c r="G244" s="14" t="str">
        <f ca="1">IFERROR(__xludf.DUMMYFUNCTION("""COMPUTED_VALUE"""),"Vanuatu")</f>
        <v>Vanuatu</v>
      </c>
      <c r="H244" s="14" t="str">
        <f ca="1">IFERROR(__xludf.DUMMYFUNCTION("""COMPUTED_VALUE"""),"Vanuatu")</f>
        <v>Vanuatu</v>
      </c>
      <c r="I244" s="14" t="str">
        <f ca="1">IFERROR(__xludf.DUMMYFUNCTION("""COMPUTED_VALUE"""),"Vanuatu")</f>
        <v>Vanuatu</v>
      </c>
      <c r="J244" s="14" t="str">
        <f ca="1">IFERROR(__xludf.DUMMYFUNCTION("""COMPUTED_VALUE"""),"Vanuatu")</f>
        <v>Vanuatu</v>
      </c>
      <c r="K244" s="14" t="str">
        <f ca="1">IFERROR(__xludf.DUMMYFUNCTION("""COMPUTED_VALUE"""),"Βανουάτου")</f>
        <v>Βανουάτου</v>
      </c>
      <c r="L244" s="14" t="str">
        <f ca="1">IFERROR(__xludf.DUMMYFUNCTION("""COMPUTED_VALUE"""),"ΒΑΝΟΥΑΤΟΥ")</f>
        <v>ΒΑΝΟΥΑΤΟΥ</v>
      </c>
      <c r="M244" s="14" t="str">
        <f ca="1">IFERROR(__xludf.DUMMYFUNCTION("""COMPUTED_VALUE"""),"Vanuatu")</f>
        <v>Vanuatu</v>
      </c>
      <c r="N244" s="14" t="str">
        <f ca="1">IFERROR(__xludf.DUMMYFUNCTION("""COMPUTED_VALUE"""),"Vanuatu")</f>
        <v>Vanuatu</v>
      </c>
      <c r="O244" s="14" t="str">
        <f ca="1">IFERROR(__xludf.DUMMYFUNCTION("""COMPUTED_VALUE"""),"Vanuatu")</f>
        <v>Vanuatu</v>
      </c>
      <c r="P244" s="14" t="str">
        <f ca="1">IFERROR(__xludf.DUMMYFUNCTION("""COMPUTED_VALUE"""),"Vanuatu")</f>
        <v>Vanuatu</v>
      </c>
      <c r="Q244" s="14" t="str">
        <f ca="1">IFERROR(__xludf.DUMMYFUNCTION("""COMPUTED_VALUE"""),"바누아투")</f>
        <v>바누아투</v>
      </c>
      <c r="R244" s="14" t="str">
        <f ca="1">IFERROR(__xludf.DUMMYFUNCTION("""COMPUTED_VALUE"""),"Vanuatu")</f>
        <v>Vanuatu</v>
      </c>
      <c r="S244" s="14" t="str">
        <f ca="1">IFERROR(__xludf.DUMMYFUNCTION("""COMPUTED_VALUE"""),"Vanuatu")</f>
        <v>Vanuatu</v>
      </c>
      <c r="T244" s="14" t="str">
        <f ca="1">IFERROR(__xludf.DUMMYFUNCTION("""COMPUTED_VALUE"""),"Vanuatu")</f>
        <v>Vanuatu</v>
      </c>
      <c r="U244" s="14" t="str">
        <f ca="1">IFERROR(__xludf.DUMMYFUNCTION("""COMPUTED_VALUE"""),"Vanuatu")</f>
        <v>Vanuatu</v>
      </c>
      <c r="V244" s="14" t="str">
        <f ca="1">IFERROR(__xludf.DUMMYFUNCTION("""COMPUTED_VALUE"""),"Вануату")</f>
        <v>Вануату</v>
      </c>
      <c r="W244" s="14" t="str">
        <f ca="1">IFERROR(__xludf.DUMMYFUNCTION("""COMPUTED_VALUE"""),"Vanuatu")</f>
        <v>Vanuatu</v>
      </c>
      <c r="X244" s="14" t="str">
        <f ca="1">IFERROR(__xludf.DUMMYFUNCTION("""COMPUTED_VALUE"""),"Vanuatu")</f>
        <v>Vanuatu</v>
      </c>
      <c r="Y244" s="14" t="str">
        <f ca="1">IFERROR(__xludf.DUMMYFUNCTION("""COMPUTED_VALUE"""),"Vanuatu")</f>
        <v>Vanuatu</v>
      </c>
      <c r="Z244" s="14" t="str">
        <f ca="1">IFERROR(__xludf.DUMMYFUNCTION("""COMPUTED_VALUE"""),"วานูอาตู")</f>
        <v>วานูอาตู</v>
      </c>
      <c r="AA244" s="14" t="str">
        <f ca="1">IFERROR(__xludf.DUMMYFUNCTION("""COMPUTED_VALUE"""),"Vanuatu")</f>
        <v>Vanuatu</v>
      </c>
      <c r="AB244" s="14" t="str">
        <f ca="1">IFERROR(__xludf.DUMMYFUNCTION("""COMPUTED_VALUE"""),"VANUATU")</f>
        <v>VANUATU</v>
      </c>
      <c r="AC244" s="14" t="str">
        <f ca="1">IFERROR(__xludf.DUMMYFUNCTION("""COMPUTED_VALUE"""),"Вануату")</f>
        <v>Вануату</v>
      </c>
      <c r="AD244" s="14" t="str">
        <f ca="1">IFERROR(__xludf.DUMMYFUNCTION("""COMPUTED_VALUE"""),"Vanuatu")</f>
        <v>Vanuatu</v>
      </c>
      <c r="AE244" s="14" t="str">
        <f ca="1">IFERROR(__xludf.DUMMYFUNCTION("""COMPUTED_VALUE"""),"Вануату")</f>
        <v>Вануату</v>
      </c>
      <c r="AF244" s="14"/>
    </row>
    <row r="245" spans="1:32" ht="13" x14ac:dyDescent="0.15">
      <c r="A245" s="14" t="str">
        <f ca="1">IFERROR(__xludf.DUMMYFUNCTION("""COMPUTED_VALUE"""),"WF")</f>
        <v>WF</v>
      </c>
      <c r="B245" s="14" t="str">
        <f ca="1">IFERROR(__xludf.DUMMYFUNCTION("""COMPUTED_VALUE"""),"Wallis and Futuna")</f>
        <v>Wallis and Futuna</v>
      </c>
      <c r="C245" s="14" t="str">
        <f ca="1">IFERROR(__xludf.DUMMYFUNCTION("""COMPUTED_VALUE"""),"جزر والس وفوتونا")</f>
        <v>جزر والس وفوتونا</v>
      </c>
      <c r="D245" s="14" t="str">
        <f ca="1">IFERROR(__xludf.DUMMYFUNCTION("""COMPUTED_VALUE"""),"Уолис и Футуна")</f>
        <v>Уолис и Футуна</v>
      </c>
      <c r="E245" s="14" t="str">
        <f ca="1">IFERROR(__xludf.DUMMYFUNCTION("""COMPUTED_VALUE"""),"Wallis e Futuna")</f>
        <v>Wallis e Futuna</v>
      </c>
      <c r="F245" s="14" t="str">
        <f ca="1">IFERROR(__xludf.DUMMYFUNCTION("""COMPUTED_VALUE"""),"Уоліс і Футуна")</f>
        <v>Уоліс і Футуна</v>
      </c>
      <c r="G245" s="14" t="str">
        <f ca="1">IFERROR(__xludf.DUMMYFUNCTION("""COMPUTED_VALUE"""),"Wallis a Futuna")</f>
        <v>Wallis a Futuna</v>
      </c>
      <c r="H245" s="14" t="str">
        <f ca="1">IFERROR(__xludf.DUMMYFUNCTION("""COMPUTED_VALUE"""),"Wallis und Futuna")</f>
        <v>Wallis und Futuna</v>
      </c>
      <c r="I245" s="14" t="str">
        <f ca="1">IFERROR(__xludf.DUMMYFUNCTION("""COMPUTED_VALUE"""),"Wallis y Futuna")</f>
        <v>Wallis y Futuna</v>
      </c>
      <c r="J245" s="14" t="str">
        <f ca="1">IFERROR(__xludf.DUMMYFUNCTION("""COMPUTED_VALUE"""),"Wallis ja Futunasaaret")</f>
        <v>Wallis ja Futunasaaret</v>
      </c>
      <c r="K245" s="14" t="str">
        <f ca="1">IFERROR(__xludf.DUMMYFUNCTION("""COMPUTED_VALUE"""),"Ουαλίς και Φουτουνά")</f>
        <v>Ουαλίς και Φουτουνά</v>
      </c>
      <c r="L245" s="14" t="str">
        <f ca="1">IFERROR(__xludf.DUMMYFUNCTION("""COMPUTED_VALUE"""),"ΟΥΑΛΙΣ ΚΑΙ ΦΟΥΤΟΥΝΑ")</f>
        <v>ΟΥΑΛΙΣ ΚΑΙ ΦΟΥΤΟΥΝΑ</v>
      </c>
      <c r="M245" s="14" t="str">
        <f ca="1">IFERROR(__xludf.DUMMYFUNCTION("""COMPUTED_VALUE"""),"Wallis i Futuna")</f>
        <v>Wallis i Futuna</v>
      </c>
      <c r="N245" s="14" t="str">
        <f ca="1">IFERROR(__xludf.DUMMYFUNCTION("""COMPUTED_VALUE"""),"Wallis és Futuna")</f>
        <v>Wallis és Futuna</v>
      </c>
      <c r="O245" s="14" t="str">
        <f ca="1">IFERROR(__xludf.DUMMYFUNCTION("""COMPUTED_VALUE"""),"Wallis dan Futuna")</f>
        <v>Wallis dan Futuna</v>
      </c>
      <c r="P245" s="14" t="str">
        <f ca="1">IFERROR(__xludf.DUMMYFUNCTION("""COMPUTED_VALUE"""),"Wallis e Futuna")</f>
        <v>Wallis e Futuna</v>
      </c>
      <c r="Q245" s="14" t="str">
        <f ca="1">IFERROR(__xludf.DUMMYFUNCTION("""COMPUTED_VALUE"""),"왈리스 퓌튀나")</f>
        <v>왈리스 퓌튀나</v>
      </c>
      <c r="R245" s="14" t="str">
        <f ca="1">IFERROR(__xludf.DUMMYFUNCTION("""COMPUTED_VALUE"""),"Wallis i Futuna")</f>
        <v>Wallis i Futuna</v>
      </c>
      <c r="S245" s="14" t="str">
        <f ca="1">IFERROR(__xludf.DUMMYFUNCTION("""COMPUTED_VALUE"""),"Wallis e Futuna")</f>
        <v>Wallis e Futuna</v>
      </c>
      <c r="T245" s="14" t="str">
        <f ca="1">IFERROR(__xludf.DUMMYFUNCTION("""COMPUTED_VALUE"""),"Wallis și Futuna")</f>
        <v>Wallis și Futuna</v>
      </c>
      <c r="U245" s="14" t="str">
        <f ca="1">IFERROR(__xludf.DUMMYFUNCTION("""COMPUTED_VALUE"""),"Valis i Futuna")</f>
        <v>Valis i Futuna</v>
      </c>
      <c r="V245" s="14" t="str">
        <f ca="1">IFERROR(__xludf.DUMMYFUNCTION("""COMPUTED_VALUE"""),"Уоллис и Футуна")</f>
        <v>Уоллис и Футуна</v>
      </c>
      <c r="W245" s="14" t="str">
        <f ca="1">IFERROR(__xludf.DUMMYFUNCTION("""COMPUTED_VALUE"""),"Wallis- och Futunaöarna")</f>
        <v>Wallis- och Futunaöarna</v>
      </c>
      <c r="X245" s="14" t="str">
        <f ca="1">IFERROR(__xludf.DUMMYFUNCTION("""COMPUTED_VALUE"""),"Wallis in Futuna")</f>
        <v>Wallis in Futuna</v>
      </c>
      <c r="Y245" s="14" t="str">
        <f ca="1">IFERROR(__xludf.DUMMYFUNCTION("""COMPUTED_VALUE"""),"Wallis a Futuna")</f>
        <v>Wallis a Futuna</v>
      </c>
      <c r="Z245" s="14" t="str">
        <f ca="1">IFERROR(__xludf.DUMMYFUNCTION("""COMPUTED_VALUE"""),"วาลิสและฟูตูนา")</f>
        <v>วาลิสและฟูตูนา</v>
      </c>
      <c r="AA245" s="14" t="str">
        <f ca="1">IFERROR(__xludf.DUMMYFUNCTION("""COMPUTED_VALUE"""),"Wallis ve Futuna")</f>
        <v>Wallis ve Futuna</v>
      </c>
      <c r="AB245" s="14" t="str">
        <f ca="1">IFERROR(__xludf.DUMMYFUNCTION("""COMPUTED_VALUE"""),"WALLİS VE FUTUNA")</f>
        <v>WALLİS VE FUTUNA</v>
      </c>
      <c r="AC245" s="14" t="str">
        <f ca="1">IFERROR(__xludf.DUMMYFUNCTION("""COMPUTED_VALUE"""),"Волліс і Футуна")</f>
        <v>Волліс і Футуна</v>
      </c>
      <c r="AD245" s="14" t="str">
        <f ca="1">IFERROR(__xludf.DUMMYFUNCTION("""COMPUTED_VALUE"""),"Wallis và Futuna")</f>
        <v>Wallis và Futuna</v>
      </c>
      <c r="AE245" s="14" t="str">
        <f ca="1">IFERROR(__xludf.DUMMYFUNCTION("""COMPUTED_VALUE"""),"Уоллис және Футуна")</f>
        <v>Уоллис және Футуна</v>
      </c>
      <c r="AF245" s="14"/>
    </row>
    <row r="246" spans="1:32" ht="13" x14ac:dyDescent="0.15">
      <c r="A246" s="14" t="str">
        <f ca="1">IFERROR(__xludf.DUMMYFUNCTION("""COMPUTED_VALUE"""),"WS")</f>
        <v>WS</v>
      </c>
      <c r="B246" s="14" t="str">
        <f ca="1">IFERROR(__xludf.DUMMYFUNCTION("""COMPUTED_VALUE"""),"Samoa")</f>
        <v>Samoa</v>
      </c>
      <c r="C246" s="14" t="str">
        <f ca="1">IFERROR(__xludf.DUMMYFUNCTION("""COMPUTED_VALUE"""),"ساموا")</f>
        <v>ساموا</v>
      </c>
      <c r="D246" s="14" t="str">
        <f ca="1">IFERROR(__xludf.DUMMYFUNCTION("""COMPUTED_VALUE"""),"Самоа")</f>
        <v>Самоа</v>
      </c>
      <c r="E246" s="14" t="str">
        <f ca="1">IFERROR(__xludf.DUMMYFUNCTION("""COMPUTED_VALUE"""),"Samoa (Samoa Ocidental)")</f>
        <v>Samoa (Samoa Ocidental)</v>
      </c>
      <c r="F246" s="14" t="str">
        <f ca="1">IFERROR(__xludf.DUMMYFUNCTION("""COMPUTED_VALUE"""),"Самоа")</f>
        <v>Самоа</v>
      </c>
      <c r="G246" s="14" t="str">
        <f ca="1">IFERROR(__xludf.DUMMYFUNCTION("""COMPUTED_VALUE"""),"Samoa")</f>
        <v>Samoa</v>
      </c>
      <c r="H246" s="14" t="str">
        <f ca="1">IFERROR(__xludf.DUMMYFUNCTION("""COMPUTED_VALUE"""),"Samoa")</f>
        <v>Samoa</v>
      </c>
      <c r="I246" s="14" t="str">
        <f ca="1">IFERROR(__xludf.DUMMYFUNCTION("""COMPUTED_VALUE"""),"Samoa")</f>
        <v>Samoa</v>
      </c>
      <c r="J246" s="14" t="str">
        <f ca="1">IFERROR(__xludf.DUMMYFUNCTION("""COMPUTED_VALUE"""),"Samoa")</f>
        <v>Samoa</v>
      </c>
      <c r="K246" s="14" t="str">
        <f ca="1">IFERROR(__xludf.DUMMYFUNCTION("""COMPUTED_VALUE"""),"Σαμόα")</f>
        <v>Σαμόα</v>
      </c>
      <c r="L246" s="14" t="str">
        <f ca="1">IFERROR(__xludf.DUMMYFUNCTION("""COMPUTED_VALUE"""),"ΣΑΜΟΑ")</f>
        <v>ΣΑΜΟΑ</v>
      </c>
      <c r="M246" s="14" t="str">
        <f ca="1">IFERROR(__xludf.DUMMYFUNCTION("""COMPUTED_VALUE"""),"Zapadna Samoa")</f>
        <v>Zapadna Samoa</v>
      </c>
      <c r="N246" s="14" t="str">
        <f ca="1">IFERROR(__xludf.DUMMYFUNCTION("""COMPUTED_VALUE"""),"Szamoa")</f>
        <v>Szamoa</v>
      </c>
      <c r="O246" s="14" t="str">
        <f ca="1">IFERROR(__xludf.DUMMYFUNCTION("""COMPUTED_VALUE"""),"Samoa")</f>
        <v>Samoa</v>
      </c>
      <c r="P246" s="14" t="str">
        <f ca="1">IFERROR(__xludf.DUMMYFUNCTION("""COMPUTED_VALUE"""),"Samoa")</f>
        <v>Samoa</v>
      </c>
      <c r="Q246" s="14" t="str">
        <f ca="1">IFERROR(__xludf.DUMMYFUNCTION("""COMPUTED_VALUE"""),"사모아")</f>
        <v>사모아</v>
      </c>
      <c r="R246" s="14" t="str">
        <f ca="1">IFERROR(__xludf.DUMMYFUNCTION("""COMPUTED_VALUE"""),"Samoa")</f>
        <v>Samoa</v>
      </c>
      <c r="S246" s="14" t="str">
        <f ca="1">IFERROR(__xludf.DUMMYFUNCTION("""COMPUTED_VALUE"""),"Samoa (Samoa Ocidental)")</f>
        <v>Samoa (Samoa Ocidental)</v>
      </c>
      <c r="T246" s="14" t="str">
        <f ca="1">IFERROR(__xludf.DUMMYFUNCTION("""COMPUTED_VALUE"""),"Samoa")</f>
        <v>Samoa</v>
      </c>
      <c r="U246" s="14" t="str">
        <f ca="1">IFERROR(__xludf.DUMMYFUNCTION("""COMPUTED_VALUE"""),"Samoa")</f>
        <v>Samoa</v>
      </c>
      <c r="V246" s="14" t="str">
        <f ca="1">IFERROR(__xludf.DUMMYFUNCTION("""COMPUTED_VALUE"""),"Самоа")</f>
        <v>Самоа</v>
      </c>
      <c r="W246" s="14" t="str">
        <f ca="1">IFERROR(__xludf.DUMMYFUNCTION("""COMPUTED_VALUE"""),"Samoa")</f>
        <v>Samoa</v>
      </c>
      <c r="X246" s="14" t="str">
        <f ca="1">IFERROR(__xludf.DUMMYFUNCTION("""COMPUTED_VALUE"""),"Zahodna Samoa")</f>
        <v>Zahodna Samoa</v>
      </c>
      <c r="Y246" s="14" t="str">
        <f ca="1">IFERROR(__xludf.DUMMYFUNCTION("""COMPUTED_VALUE"""),"Samoa")</f>
        <v>Samoa</v>
      </c>
      <c r="Z246" s="14" t="str">
        <f ca="1">IFERROR(__xludf.DUMMYFUNCTION("""COMPUTED_VALUE"""),"ซามัว")</f>
        <v>ซามัว</v>
      </c>
      <c r="AA246" s="14" t="str">
        <f ca="1">IFERROR(__xludf.DUMMYFUNCTION("""COMPUTED_VALUE"""),"Samoa")</f>
        <v>Samoa</v>
      </c>
      <c r="AB246" s="14" t="str">
        <f ca="1">IFERROR(__xludf.DUMMYFUNCTION("""COMPUTED_VALUE"""),"SAMOA")</f>
        <v>SAMOA</v>
      </c>
      <c r="AC246" s="14" t="str">
        <f ca="1">IFERROR(__xludf.DUMMYFUNCTION("""COMPUTED_VALUE"""),"Самоа")</f>
        <v>Самоа</v>
      </c>
      <c r="AD246" s="14" t="str">
        <f ca="1">IFERROR(__xludf.DUMMYFUNCTION("""COMPUTED_VALUE"""),"Tây Samoa")</f>
        <v>Tây Samoa</v>
      </c>
      <c r="AE246" s="14" t="str">
        <f ca="1">IFERROR(__xludf.DUMMYFUNCTION("""COMPUTED_VALUE"""),"Самоа")</f>
        <v>Самоа</v>
      </c>
      <c r="AF246" s="14"/>
    </row>
    <row r="247" spans="1:32" ht="13" x14ac:dyDescent="0.15">
      <c r="A247" s="14" t="str">
        <f ca="1">IFERROR(__xludf.DUMMYFUNCTION("""COMPUTED_VALUE"""),"YE")</f>
        <v>YE</v>
      </c>
      <c r="B247" s="14" t="str">
        <f ca="1">IFERROR(__xludf.DUMMYFUNCTION("""COMPUTED_VALUE"""),"Yemen")</f>
        <v>Yemen</v>
      </c>
      <c r="C247" s="14" t="str">
        <f ca="1">IFERROR(__xludf.DUMMYFUNCTION("""COMPUTED_VALUE"""),"اليمن")</f>
        <v>اليمن</v>
      </c>
      <c r="D247" s="14" t="str">
        <f ca="1">IFERROR(__xludf.DUMMYFUNCTION("""COMPUTED_VALUE"""),"Йемен")</f>
        <v>Йемен</v>
      </c>
      <c r="E247" s="14" t="str">
        <f ca="1">IFERROR(__xludf.DUMMYFUNCTION("""COMPUTED_VALUE"""),"Iémen")</f>
        <v>Iémen</v>
      </c>
      <c r="F247" s="14" t="str">
        <f ca="1">IFERROR(__xludf.DUMMYFUNCTION("""COMPUTED_VALUE"""),"Емен")</f>
        <v>Емен</v>
      </c>
      <c r="G247" s="14" t="str">
        <f ca="1">IFERROR(__xludf.DUMMYFUNCTION("""COMPUTED_VALUE"""),"Jemen")</f>
        <v>Jemen</v>
      </c>
      <c r="H247" s="14" t="str">
        <f ca="1">IFERROR(__xludf.DUMMYFUNCTION("""COMPUTED_VALUE"""),"Jemen")</f>
        <v>Jemen</v>
      </c>
      <c r="I247" s="14" t="str">
        <f ca="1">IFERROR(__xludf.DUMMYFUNCTION("""COMPUTED_VALUE"""),"Yemen")</f>
        <v>Yemen</v>
      </c>
      <c r="J247" s="14" t="str">
        <f ca="1">IFERROR(__xludf.DUMMYFUNCTION("""COMPUTED_VALUE"""),"Jemen")</f>
        <v>Jemen</v>
      </c>
      <c r="K247" s="14" t="str">
        <f ca="1">IFERROR(__xludf.DUMMYFUNCTION("""COMPUTED_VALUE"""),"Υεμένη")</f>
        <v>Υεμένη</v>
      </c>
      <c r="L247" s="14" t="str">
        <f ca="1">IFERROR(__xludf.DUMMYFUNCTION("""COMPUTED_VALUE"""),"ΥΕΜΕΝΗ")</f>
        <v>ΥΕΜΕΝΗ</v>
      </c>
      <c r="M247" s="14" t="str">
        <f ca="1">IFERROR(__xludf.DUMMYFUNCTION("""COMPUTED_VALUE"""),"Jemen")</f>
        <v>Jemen</v>
      </c>
      <c r="N247" s="14" t="str">
        <f ca="1">IFERROR(__xludf.DUMMYFUNCTION("""COMPUTED_VALUE"""),"Jemen")</f>
        <v>Jemen</v>
      </c>
      <c r="O247" s="14" t="str">
        <f ca="1">IFERROR(__xludf.DUMMYFUNCTION("""COMPUTED_VALUE"""),"Yaman")</f>
        <v>Yaman</v>
      </c>
      <c r="P247" s="14" t="str">
        <f ca="1">IFERROR(__xludf.DUMMYFUNCTION("""COMPUTED_VALUE"""),"Yemen")</f>
        <v>Yemen</v>
      </c>
      <c r="Q247" s="14" t="str">
        <f ca="1">IFERROR(__xludf.DUMMYFUNCTION("""COMPUTED_VALUE"""),"예멘")</f>
        <v>예멘</v>
      </c>
      <c r="R247" s="14" t="str">
        <f ca="1">IFERROR(__xludf.DUMMYFUNCTION("""COMPUTED_VALUE"""),"Jemen")</f>
        <v>Jemen</v>
      </c>
      <c r="S247" s="14" t="str">
        <f ca="1">IFERROR(__xludf.DUMMYFUNCTION("""COMPUTED_VALUE"""),"Iémen")</f>
        <v>Iémen</v>
      </c>
      <c r="T247" s="14" t="str">
        <f ca="1">IFERROR(__xludf.DUMMYFUNCTION("""COMPUTED_VALUE"""),"Yemen")</f>
        <v>Yemen</v>
      </c>
      <c r="U247" s="14" t="str">
        <f ca="1">IFERROR(__xludf.DUMMYFUNCTION("""COMPUTED_VALUE"""),"Jemen")</f>
        <v>Jemen</v>
      </c>
      <c r="V247" s="14" t="str">
        <f ca="1">IFERROR(__xludf.DUMMYFUNCTION("""COMPUTED_VALUE"""),"Йемен")</f>
        <v>Йемен</v>
      </c>
      <c r="W247" s="14" t="str">
        <f ca="1">IFERROR(__xludf.DUMMYFUNCTION("""COMPUTED_VALUE"""),"Jemen")</f>
        <v>Jemen</v>
      </c>
      <c r="X247" s="14" t="str">
        <f ca="1">IFERROR(__xludf.DUMMYFUNCTION("""COMPUTED_VALUE"""),"Jemen")</f>
        <v>Jemen</v>
      </c>
      <c r="Y247" s="14" t="str">
        <f ca="1">IFERROR(__xludf.DUMMYFUNCTION("""COMPUTED_VALUE"""),"Jemen")</f>
        <v>Jemen</v>
      </c>
      <c r="Z247" s="14" t="str">
        <f ca="1">IFERROR(__xludf.DUMMYFUNCTION("""COMPUTED_VALUE"""),"เยเมน")</f>
        <v>เยเมน</v>
      </c>
      <c r="AA247" s="14" t="str">
        <f ca="1">IFERROR(__xludf.DUMMYFUNCTION("""COMPUTED_VALUE"""),"Yemen")</f>
        <v>Yemen</v>
      </c>
      <c r="AB247" s="14" t="str">
        <f ca="1">IFERROR(__xludf.DUMMYFUNCTION("""COMPUTED_VALUE"""),"YEMEN")</f>
        <v>YEMEN</v>
      </c>
      <c r="AC247" s="14" t="str">
        <f ca="1">IFERROR(__xludf.DUMMYFUNCTION("""COMPUTED_VALUE"""),"Ємен")</f>
        <v>Ємен</v>
      </c>
      <c r="AD247" s="14" t="str">
        <f ca="1">IFERROR(__xludf.DUMMYFUNCTION("""COMPUTED_VALUE"""),"Yemen")</f>
        <v>Yemen</v>
      </c>
      <c r="AE247" s="14" t="str">
        <f ca="1">IFERROR(__xludf.DUMMYFUNCTION("""COMPUTED_VALUE"""),"Йемен")</f>
        <v>Йемен</v>
      </c>
      <c r="AF247" s="14"/>
    </row>
    <row r="248" spans="1:32" ht="13" x14ac:dyDescent="0.15">
      <c r="A248" s="14" t="str">
        <f ca="1">IFERROR(__xludf.DUMMYFUNCTION("""COMPUTED_VALUE"""),"YT")</f>
        <v>YT</v>
      </c>
      <c r="B248" s="14" t="str">
        <f ca="1">IFERROR(__xludf.DUMMYFUNCTION("""COMPUTED_VALUE"""),"Mayotte")</f>
        <v>Mayotte</v>
      </c>
      <c r="C248" s="14" t="str">
        <f ca="1">IFERROR(__xludf.DUMMYFUNCTION("""COMPUTED_VALUE"""),"مايوت")</f>
        <v>مايوت</v>
      </c>
      <c r="D248" s="14" t="str">
        <f ca="1">IFERROR(__xludf.DUMMYFUNCTION("""COMPUTED_VALUE"""),"Майот")</f>
        <v>Майот</v>
      </c>
      <c r="E248" s="14" t="str">
        <f ca="1">IFERROR(__xludf.DUMMYFUNCTION("""COMPUTED_VALUE"""),"Mayotte")</f>
        <v>Mayotte</v>
      </c>
      <c r="F248" s="14" t="str">
        <f ca="1">IFERROR(__xludf.DUMMYFUNCTION("""COMPUTED_VALUE"""),"Маёта")</f>
        <v>Маёта</v>
      </c>
      <c r="G248" s="14" t="str">
        <f ca="1">IFERROR(__xludf.DUMMYFUNCTION("""COMPUTED_VALUE"""),"Mayotte")</f>
        <v>Mayotte</v>
      </c>
      <c r="H248" s="14" t="str">
        <f ca="1">IFERROR(__xludf.DUMMYFUNCTION("""COMPUTED_VALUE"""),"Mayotte")</f>
        <v>Mayotte</v>
      </c>
      <c r="I248" s="14" t="str">
        <f ca="1">IFERROR(__xludf.DUMMYFUNCTION("""COMPUTED_VALUE"""),"Mayotte")</f>
        <v>Mayotte</v>
      </c>
      <c r="J248" s="14" t="str">
        <f ca="1">IFERROR(__xludf.DUMMYFUNCTION("""COMPUTED_VALUE"""),"Mayotte")</f>
        <v>Mayotte</v>
      </c>
      <c r="K248" s="14" t="str">
        <f ca="1">IFERROR(__xludf.DUMMYFUNCTION("""COMPUTED_VALUE"""),"Μαγιότ")</f>
        <v>Μαγιότ</v>
      </c>
      <c r="L248" s="14" t="str">
        <f ca="1">IFERROR(__xludf.DUMMYFUNCTION("""COMPUTED_VALUE"""),"ΜΑΓΙΟΤ")</f>
        <v>ΜΑΓΙΟΤ</v>
      </c>
      <c r="M248" s="14" t="str">
        <f ca="1">IFERROR(__xludf.DUMMYFUNCTION("""COMPUTED_VALUE"""),"Mayotte")</f>
        <v>Mayotte</v>
      </c>
      <c r="N248" s="14" t="str">
        <f ca="1">IFERROR(__xludf.DUMMYFUNCTION("""COMPUTED_VALUE"""),"Mayotte")</f>
        <v>Mayotte</v>
      </c>
      <c r="O248" s="14" t="str">
        <f ca="1">IFERROR(__xludf.DUMMYFUNCTION("""COMPUTED_VALUE"""),"Mayotte")</f>
        <v>Mayotte</v>
      </c>
      <c r="P248" s="14" t="str">
        <f ca="1">IFERROR(__xludf.DUMMYFUNCTION("""COMPUTED_VALUE"""),"Mayotte")</f>
        <v>Mayotte</v>
      </c>
      <c r="Q248" s="14" t="str">
        <f ca="1">IFERROR(__xludf.DUMMYFUNCTION("""COMPUTED_VALUE"""),"마요트")</f>
        <v>마요트</v>
      </c>
      <c r="R248" s="14" t="str">
        <f ca="1">IFERROR(__xludf.DUMMYFUNCTION("""COMPUTED_VALUE"""),"Majotta")</f>
        <v>Majotta</v>
      </c>
      <c r="S248" s="14" t="str">
        <f ca="1">IFERROR(__xludf.DUMMYFUNCTION("""COMPUTED_VALUE"""),"Mayotte")</f>
        <v>Mayotte</v>
      </c>
      <c r="T248" s="14" t="str">
        <f ca="1">IFERROR(__xludf.DUMMYFUNCTION("""COMPUTED_VALUE"""),"Mayotte")</f>
        <v>Mayotte</v>
      </c>
      <c r="U248" s="14" t="str">
        <f ca="1">IFERROR(__xludf.DUMMYFUNCTION("""COMPUTED_VALUE"""),"Majot")</f>
        <v>Majot</v>
      </c>
      <c r="V248" s="14" t="str">
        <f ca="1">IFERROR(__xludf.DUMMYFUNCTION("""COMPUTED_VALUE"""),"Майотта")</f>
        <v>Майотта</v>
      </c>
      <c r="W248" s="14" t="str">
        <f ca="1">IFERROR(__xludf.DUMMYFUNCTION("""COMPUTED_VALUE"""),"Mayotte")</f>
        <v>Mayotte</v>
      </c>
      <c r="X248" s="14" t="str">
        <f ca="1">IFERROR(__xludf.DUMMYFUNCTION("""COMPUTED_VALUE"""),"Mayotte")</f>
        <v>Mayotte</v>
      </c>
      <c r="Y248" s="14" t="str">
        <f ca="1">IFERROR(__xludf.DUMMYFUNCTION("""COMPUTED_VALUE"""),"Mayotte")</f>
        <v>Mayotte</v>
      </c>
      <c r="Z248" s="14" t="str">
        <f ca="1">IFERROR(__xludf.DUMMYFUNCTION("""COMPUTED_VALUE"""),"มายอต")</f>
        <v>มายอต</v>
      </c>
      <c r="AA248" s="14" t="str">
        <f ca="1">IFERROR(__xludf.DUMMYFUNCTION("""COMPUTED_VALUE"""),"Mayotte")</f>
        <v>Mayotte</v>
      </c>
      <c r="AB248" s="14" t="str">
        <f ca="1">IFERROR(__xludf.DUMMYFUNCTION("""COMPUTED_VALUE"""),"MAYOTTE")</f>
        <v>MAYOTTE</v>
      </c>
      <c r="AC248" s="14" t="str">
        <f ca="1">IFERROR(__xludf.DUMMYFUNCTION("""COMPUTED_VALUE"""),"Майотта")</f>
        <v>Майотта</v>
      </c>
      <c r="AD248" s="14" t="str">
        <f ca="1">IFERROR(__xludf.DUMMYFUNCTION("""COMPUTED_VALUE"""),"Mayotte")</f>
        <v>Mayotte</v>
      </c>
      <c r="AE248" s="14" t="str">
        <f ca="1">IFERROR(__xludf.DUMMYFUNCTION("""COMPUTED_VALUE"""),"Майотта")</f>
        <v>Майотта</v>
      </c>
      <c r="AF248" s="14"/>
    </row>
    <row r="249" spans="1:32" ht="13" x14ac:dyDescent="0.15">
      <c r="A249" s="14" t="str">
        <f ca="1">IFERROR(__xludf.DUMMYFUNCTION("""COMPUTED_VALUE"""),"ZA")</f>
        <v>ZA</v>
      </c>
      <c r="B249" s="14" t="str">
        <f ca="1">IFERROR(__xludf.DUMMYFUNCTION("""COMPUTED_VALUE"""),"South Africa")</f>
        <v>South Africa</v>
      </c>
      <c r="C249" s="14" t="str">
        <f ca="1">IFERROR(__xludf.DUMMYFUNCTION("""COMPUTED_VALUE"""),"جمهورية جنوب افريقيا")</f>
        <v>جمهورية جنوب افريقيا</v>
      </c>
      <c r="D249" s="14" t="str">
        <f ca="1">IFERROR(__xludf.DUMMYFUNCTION("""COMPUTED_VALUE"""),"РЮА")</f>
        <v>РЮА</v>
      </c>
      <c r="E249" s="14" t="str">
        <f ca="1">IFERROR(__xludf.DUMMYFUNCTION("""COMPUTED_VALUE"""),"África do Sul")</f>
        <v>África do Sul</v>
      </c>
      <c r="F249" s="14" t="str">
        <f ca="1">IFERROR(__xludf.DUMMYFUNCTION("""COMPUTED_VALUE"""),"ПАР")</f>
        <v>ПАР</v>
      </c>
      <c r="G249" s="14" t="str">
        <f ca="1">IFERROR(__xludf.DUMMYFUNCTION("""COMPUTED_VALUE"""),"Jižní Afrika")</f>
        <v>Jižní Afrika</v>
      </c>
      <c r="H249" s="14" t="str">
        <f ca="1">IFERROR(__xludf.DUMMYFUNCTION("""COMPUTED_VALUE"""),"Südafrika")</f>
        <v>Südafrika</v>
      </c>
      <c r="I249" s="14" t="str">
        <f ca="1">IFERROR(__xludf.DUMMYFUNCTION("""COMPUTED_VALUE"""),"Sudáfrica")</f>
        <v>Sudáfrica</v>
      </c>
      <c r="J249" s="14" t="str">
        <f ca="1">IFERROR(__xludf.DUMMYFUNCTION("""COMPUTED_VALUE"""),"Etelä-Afrikka")</f>
        <v>Etelä-Afrikka</v>
      </c>
      <c r="K249" s="14" t="str">
        <f ca="1">IFERROR(__xludf.DUMMYFUNCTION("""COMPUTED_VALUE"""),"Νότια Αφρική")</f>
        <v>Νότια Αφρική</v>
      </c>
      <c r="L249" s="14" t="str">
        <f ca="1">IFERROR(__xludf.DUMMYFUNCTION("""COMPUTED_VALUE"""),"ΝΟΤΙΑ ΑΦΡΙΚΗ")</f>
        <v>ΝΟΤΙΑ ΑΦΡΙΚΗ</v>
      </c>
      <c r="M249" s="14" t="str">
        <f ca="1">IFERROR(__xludf.DUMMYFUNCTION("""COMPUTED_VALUE"""),"Južna Afrika")</f>
        <v>Južna Afrika</v>
      </c>
      <c r="N249" s="14" t="str">
        <f ca="1">IFERROR(__xludf.DUMMYFUNCTION("""COMPUTED_VALUE"""),"Dél-Afrika")</f>
        <v>Dél-Afrika</v>
      </c>
      <c r="O249" s="14" t="str">
        <f ca="1">IFERROR(__xludf.DUMMYFUNCTION("""COMPUTED_VALUE"""),"Afrika Selatan")</f>
        <v>Afrika Selatan</v>
      </c>
      <c r="P249" s="14" t="str">
        <f ca="1">IFERROR(__xludf.DUMMYFUNCTION("""COMPUTED_VALUE"""),"Sudafrica")</f>
        <v>Sudafrica</v>
      </c>
      <c r="Q249" s="14" t="str">
        <f ca="1">IFERROR(__xludf.DUMMYFUNCTION("""COMPUTED_VALUE"""),"남아프리카 공화국")</f>
        <v>남아프리카 공화국</v>
      </c>
      <c r="R249" s="14" t="str">
        <f ca="1">IFERROR(__xludf.DUMMYFUNCTION("""COMPUTED_VALUE"""),"RPA")</f>
        <v>RPA</v>
      </c>
      <c r="S249" s="14" t="str">
        <f ca="1">IFERROR(__xludf.DUMMYFUNCTION("""COMPUTED_VALUE"""),"África do Sul")</f>
        <v>África do Sul</v>
      </c>
      <c r="T249" s="14" t="str">
        <f ca="1">IFERROR(__xludf.DUMMYFUNCTION("""COMPUTED_VALUE"""),"Africa de Sud")</f>
        <v>Africa de Sud</v>
      </c>
      <c r="U249" s="14" t="str">
        <f ca="1">IFERROR(__xludf.DUMMYFUNCTION("""COMPUTED_VALUE"""),"Južnoafrička Republika")</f>
        <v>Južnoafrička Republika</v>
      </c>
      <c r="V249" s="14" t="str">
        <f ca="1">IFERROR(__xludf.DUMMYFUNCTION("""COMPUTED_VALUE"""),"ЮАР")</f>
        <v>ЮАР</v>
      </c>
      <c r="W249" s="14" t="str">
        <f ca="1">IFERROR(__xludf.DUMMYFUNCTION("""COMPUTED_VALUE"""),"Sydafrika")</f>
        <v>Sydafrika</v>
      </c>
      <c r="X249" s="14" t="str">
        <f ca="1">IFERROR(__xludf.DUMMYFUNCTION("""COMPUTED_VALUE"""),"Južna Afrika")</f>
        <v>Južna Afrika</v>
      </c>
      <c r="Y249" s="14" t="str">
        <f ca="1">IFERROR(__xludf.DUMMYFUNCTION("""COMPUTED_VALUE"""),"Južná Afrika")</f>
        <v>Južná Afrika</v>
      </c>
      <c r="Z249" s="14" t="str">
        <f ca="1">IFERROR(__xludf.DUMMYFUNCTION("""COMPUTED_VALUE"""),"แอฟริกาใต้")</f>
        <v>แอฟริกาใต้</v>
      </c>
      <c r="AA249" s="14" t="str">
        <f ca="1">IFERROR(__xludf.DUMMYFUNCTION("""COMPUTED_VALUE"""),"Güney Afrika")</f>
        <v>Güney Afrika</v>
      </c>
      <c r="AB249" s="14" t="str">
        <f ca="1">IFERROR(__xludf.DUMMYFUNCTION("""COMPUTED_VALUE"""),"GÜNEY AFRİKA")</f>
        <v>GÜNEY AFRİKA</v>
      </c>
      <c r="AC249" s="14" t="str">
        <f ca="1">IFERROR(__xludf.DUMMYFUNCTION("""COMPUTED_VALUE"""),"ПАР")</f>
        <v>ПАР</v>
      </c>
      <c r="AD249" s="14" t="str">
        <f ca="1">IFERROR(__xludf.DUMMYFUNCTION("""COMPUTED_VALUE"""),"Cộng hòa Nam Phi")</f>
        <v>Cộng hòa Nam Phi</v>
      </c>
      <c r="AE249" s="14" t="str">
        <f ca="1">IFERROR(__xludf.DUMMYFUNCTION("""COMPUTED_VALUE"""),"ОАР")</f>
        <v>ОАР</v>
      </c>
      <c r="AF249" s="14"/>
    </row>
    <row r="250" spans="1:32" ht="13" x14ac:dyDescent="0.15">
      <c r="A250" s="14" t="str">
        <f ca="1">IFERROR(__xludf.DUMMYFUNCTION("""COMPUTED_VALUE"""),"ZM")</f>
        <v>ZM</v>
      </c>
      <c r="B250" s="14" t="str">
        <f ca="1">IFERROR(__xludf.DUMMYFUNCTION("""COMPUTED_VALUE"""),"Zambia")</f>
        <v>Zambia</v>
      </c>
      <c r="C250" s="14" t="str">
        <f ca="1">IFERROR(__xludf.DUMMYFUNCTION("""COMPUTED_VALUE"""),"زامبيا")</f>
        <v>زامبيا</v>
      </c>
      <c r="D250" s="14" t="str">
        <f ca="1">IFERROR(__xludf.DUMMYFUNCTION("""COMPUTED_VALUE"""),"Замбия")</f>
        <v>Замбия</v>
      </c>
      <c r="E250" s="14" t="str">
        <f ca="1">IFERROR(__xludf.DUMMYFUNCTION("""COMPUTED_VALUE"""),"Zâmbia")</f>
        <v>Zâmbia</v>
      </c>
      <c r="F250" s="14" t="str">
        <f ca="1">IFERROR(__xludf.DUMMYFUNCTION("""COMPUTED_VALUE"""),"Замбія")</f>
        <v>Замбія</v>
      </c>
      <c r="G250" s="14" t="str">
        <f ca="1">IFERROR(__xludf.DUMMYFUNCTION("""COMPUTED_VALUE"""),"Zambie")</f>
        <v>Zambie</v>
      </c>
      <c r="H250" s="14" t="str">
        <f ca="1">IFERROR(__xludf.DUMMYFUNCTION("""COMPUTED_VALUE"""),"Sambia")</f>
        <v>Sambia</v>
      </c>
      <c r="I250" s="14" t="str">
        <f ca="1">IFERROR(__xludf.DUMMYFUNCTION("""COMPUTED_VALUE"""),"Zambia")</f>
        <v>Zambia</v>
      </c>
      <c r="J250" s="14" t="str">
        <f ca="1">IFERROR(__xludf.DUMMYFUNCTION("""COMPUTED_VALUE"""),"Sambia")</f>
        <v>Sambia</v>
      </c>
      <c r="K250" s="14" t="str">
        <f ca="1">IFERROR(__xludf.DUMMYFUNCTION("""COMPUTED_VALUE"""),"Ζάμπια")</f>
        <v>Ζάμπια</v>
      </c>
      <c r="L250" s="14" t="str">
        <f ca="1">IFERROR(__xludf.DUMMYFUNCTION("""COMPUTED_VALUE"""),"ΖΑΜΠΙΑ")</f>
        <v>ΖΑΜΠΙΑ</v>
      </c>
      <c r="M250" s="14" t="str">
        <f ca="1">IFERROR(__xludf.DUMMYFUNCTION("""COMPUTED_VALUE"""),"Zambija")</f>
        <v>Zambija</v>
      </c>
      <c r="N250" s="14" t="str">
        <f ca="1">IFERROR(__xludf.DUMMYFUNCTION("""COMPUTED_VALUE"""),"Zambia")</f>
        <v>Zambia</v>
      </c>
      <c r="O250" s="14" t="str">
        <f ca="1">IFERROR(__xludf.DUMMYFUNCTION("""COMPUTED_VALUE"""),"Zambia")</f>
        <v>Zambia</v>
      </c>
      <c r="P250" s="14" t="str">
        <f ca="1">IFERROR(__xludf.DUMMYFUNCTION("""COMPUTED_VALUE"""),"Zambia")</f>
        <v>Zambia</v>
      </c>
      <c r="Q250" s="14" t="str">
        <f ca="1">IFERROR(__xludf.DUMMYFUNCTION("""COMPUTED_VALUE"""),"잠비아")</f>
        <v>잠비아</v>
      </c>
      <c r="R250" s="14" t="str">
        <f ca="1">IFERROR(__xludf.DUMMYFUNCTION("""COMPUTED_VALUE"""),"Zambia")</f>
        <v>Zambia</v>
      </c>
      <c r="S250" s="14" t="str">
        <f ca="1">IFERROR(__xludf.DUMMYFUNCTION("""COMPUTED_VALUE"""),"Zâmbia")</f>
        <v>Zâmbia</v>
      </c>
      <c r="T250" s="14" t="str">
        <f ca="1">IFERROR(__xludf.DUMMYFUNCTION("""COMPUTED_VALUE"""),"Zambia")</f>
        <v>Zambia</v>
      </c>
      <c r="U250" s="14" t="str">
        <f ca="1">IFERROR(__xludf.DUMMYFUNCTION("""COMPUTED_VALUE"""),"Zambija")</f>
        <v>Zambija</v>
      </c>
      <c r="V250" s="14" t="str">
        <f ca="1">IFERROR(__xludf.DUMMYFUNCTION("""COMPUTED_VALUE"""),"Замбия")</f>
        <v>Замбия</v>
      </c>
      <c r="W250" s="14" t="str">
        <f ca="1">IFERROR(__xludf.DUMMYFUNCTION("""COMPUTED_VALUE"""),"Zambia")</f>
        <v>Zambia</v>
      </c>
      <c r="X250" s="14" t="str">
        <f ca="1">IFERROR(__xludf.DUMMYFUNCTION("""COMPUTED_VALUE"""),"Zambija")</f>
        <v>Zambija</v>
      </c>
      <c r="Y250" s="14" t="str">
        <f ca="1">IFERROR(__xludf.DUMMYFUNCTION("""COMPUTED_VALUE"""),"Zambia")</f>
        <v>Zambia</v>
      </c>
      <c r="Z250" s="14" t="str">
        <f ca="1">IFERROR(__xludf.DUMMYFUNCTION("""COMPUTED_VALUE"""),"แซมเบีย")</f>
        <v>แซมเบีย</v>
      </c>
      <c r="AA250" s="14" t="str">
        <f ca="1">IFERROR(__xludf.DUMMYFUNCTION("""COMPUTED_VALUE"""),"Zambiya")</f>
        <v>Zambiya</v>
      </c>
      <c r="AB250" s="14" t="str">
        <f ca="1">IFERROR(__xludf.DUMMYFUNCTION("""COMPUTED_VALUE"""),"ZAMBİYA")</f>
        <v>ZAMBİYA</v>
      </c>
      <c r="AC250" s="14" t="str">
        <f ca="1">IFERROR(__xludf.DUMMYFUNCTION("""COMPUTED_VALUE"""),"Замбія")</f>
        <v>Замбія</v>
      </c>
      <c r="AD250" s="14" t="str">
        <f ca="1">IFERROR(__xludf.DUMMYFUNCTION("""COMPUTED_VALUE"""),"Zambia")</f>
        <v>Zambia</v>
      </c>
      <c r="AE250" s="14" t="str">
        <f ca="1">IFERROR(__xludf.DUMMYFUNCTION("""COMPUTED_VALUE"""),"Замбия")</f>
        <v>Замбия</v>
      </c>
      <c r="AF250" s="14"/>
    </row>
    <row r="251" spans="1:32" ht="13" x14ac:dyDescent="0.15">
      <c r="A251" s="14" t="str">
        <f ca="1">IFERROR(__xludf.DUMMYFUNCTION("""COMPUTED_VALUE"""),"ZW")</f>
        <v>ZW</v>
      </c>
      <c r="B251" s="14" t="str">
        <f ca="1">IFERROR(__xludf.DUMMYFUNCTION("""COMPUTED_VALUE"""),"Zimbabwe")</f>
        <v>Zimbabwe</v>
      </c>
      <c r="C251" s="14" t="str">
        <f ca="1">IFERROR(__xludf.DUMMYFUNCTION("""COMPUTED_VALUE"""),"زيمبابوي")</f>
        <v>زيمبابوي</v>
      </c>
      <c r="D251" s="14" t="str">
        <f ca="1">IFERROR(__xludf.DUMMYFUNCTION("""COMPUTED_VALUE"""),"Зимбабве")</f>
        <v>Зимбабве</v>
      </c>
      <c r="E251" s="14" t="str">
        <f ca="1">IFERROR(__xludf.DUMMYFUNCTION("""COMPUTED_VALUE"""),"Zimbabwe")</f>
        <v>Zimbabwe</v>
      </c>
      <c r="F251" s="14" t="str">
        <f ca="1">IFERROR(__xludf.DUMMYFUNCTION("""COMPUTED_VALUE"""),"Зімбабвэ")</f>
        <v>Зімбабвэ</v>
      </c>
      <c r="G251" s="14" t="str">
        <f ca="1">IFERROR(__xludf.DUMMYFUNCTION("""COMPUTED_VALUE"""),"Zimbabwe")</f>
        <v>Zimbabwe</v>
      </c>
      <c r="H251" s="14" t="str">
        <f ca="1">IFERROR(__xludf.DUMMYFUNCTION("""COMPUTED_VALUE"""),"Simbabwe")</f>
        <v>Simbabwe</v>
      </c>
      <c r="I251" s="14" t="str">
        <f ca="1">IFERROR(__xludf.DUMMYFUNCTION("""COMPUTED_VALUE"""),"Zimbabwe")</f>
        <v>Zimbabwe</v>
      </c>
      <c r="J251" s="14" t="str">
        <f ca="1">IFERROR(__xludf.DUMMYFUNCTION("""COMPUTED_VALUE"""),"Zimbabwe")</f>
        <v>Zimbabwe</v>
      </c>
      <c r="K251" s="14" t="str">
        <f ca="1">IFERROR(__xludf.DUMMYFUNCTION("""COMPUTED_VALUE"""),"Ζιμπάμπουε")</f>
        <v>Ζιμπάμπουε</v>
      </c>
      <c r="L251" s="14" t="str">
        <f ca="1">IFERROR(__xludf.DUMMYFUNCTION("""COMPUTED_VALUE"""),"ΖΙΜΠΑΜΠΟΥΕ")</f>
        <v>ΖΙΜΠΑΜΠΟΥΕ</v>
      </c>
      <c r="M251" s="14" t="str">
        <f ca="1">IFERROR(__xludf.DUMMYFUNCTION("""COMPUTED_VALUE"""),"Zimbabve")</f>
        <v>Zimbabve</v>
      </c>
      <c r="N251" s="14" t="str">
        <f ca="1">IFERROR(__xludf.DUMMYFUNCTION("""COMPUTED_VALUE"""),"Zimbabwe")</f>
        <v>Zimbabwe</v>
      </c>
      <c r="O251" s="14" t="str">
        <f ca="1">IFERROR(__xludf.DUMMYFUNCTION("""COMPUTED_VALUE"""),"Zimbabwe")</f>
        <v>Zimbabwe</v>
      </c>
      <c r="P251" s="14" t="str">
        <f ca="1">IFERROR(__xludf.DUMMYFUNCTION("""COMPUTED_VALUE"""),"Zimbabwe")</f>
        <v>Zimbabwe</v>
      </c>
      <c r="Q251" s="14" t="str">
        <f ca="1">IFERROR(__xludf.DUMMYFUNCTION("""COMPUTED_VALUE"""),"짐바브웨")</f>
        <v>짐바브웨</v>
      </c>
      <c r="R251" s="14" t="str">
        <f ca="1">IFERROR(__xludf.DUMMYFUNCTION("""COMPUTED_VALUE"""),"Zimbabwe")</f>
        <v>Zimbabwe</v>
      </c>
      <c r="S251" s="14" t="str">
        <f ca="1">IFERROR(__xludf.DUMMYFUNCTION("""COMPUTED_VALUE"""),"Zimbabwe")</f>
        <v>Zimbabwe</v>
      </c>
      <c r="T251" s="14" t="str">
        <f ca="1">IFERROR(__xludf.DUMMYFUNCTION("""COMPUTED_VALUE"""),"Zimbabwe")</f>
        <v>Zimbabwe</v>
      </c>
      <c r="U251" s="14" t="str">
        <f ca="1">IFERROR(__xludf.DUMMYFUNCTION("""COMPUTED_VALUE"""),"Zimbabve")</f>
        <v>Zimbabve</v>
      </c>
      <c r="V251" s="14" t="str">
        <f ca="1">IFERROR(__xludf.DUMMYFUNCTION("""COMPUTED_VALUE"""),"Зимбабве")</f>
        <v>Зимбабве</v>
      </c>
      <c r="W251" s="14" t="str">
        <f ca="1">IFERROR(__xludf.DUMMYFUNCTION("""COMPUTED_VALUE"""),"Zimbabwe")</f>
        <v>Zimbabwe</v>
      </c>
      <c r="X251" s="14" t="str">
        <f ca="1">IFERROR(__xludf.DUMMYFUNCTION("""COMPUTED_VALUE"""),"Zimbabve")</f>
        <v>Zimbabve</v>
      </c>
      <c r="Y251" s="14" t="str">
        <f ca="1">IFERROR(__xludf.DUMMYFUNCTION("""COMPUTED_VALUE"""),"Zimbabwe")</f>
        <v>Zimbabwe</v>
      </c>
      <c r="Z251" s="14" t="str">
        <f ca="1">IFERROR(__xludf.DUMMYFUNCTION("""COMPUTED_VALUE"""),"ซิมบับเว")</f>
        <v>ซิมบับเว</v>
      </c>
      <c r="AA251" s="14" t="str">
        <f ca="1">IFERROR(__xludf.DUMMYFUNCTION("""COMPUTED_VALUE"""),"Zimbabve")</f>
        <v>Zimbabve</v>
      </c>
      <c r="AB251" s="14" t="str">
        <f ca="1">IFERROR(__xludf.DUMMYFUNCTION("""COMPUTED_VALUE"""),"ZİMBABVE")</f>
        <v>ZİMBABVE</v>
      </c>
      <c r="AC251" s="14" t="str">
        <f ca="1">IFERROR(__xludf.DUMMYFUNCTION("""COMPUTED_VALUE"""),"Зімбабве")</f>
        <v>Зімбабве</v>
      </c>
      <c r="AD251" s="14" t="str">
        <f ca="1">IFERROR(__xludf.DUMMYFUNCTION("""COMPUTED_VALUE"""),"Zimbabwe")</f>
        <v>Zimbabwe</v>
      </c>
      <c r="AE251" s="14" t="str">
        <f ca="1">IFERROR(__xludf.DUMMYFUNCTION("""COMPUTED_VALUE"""),"Зимбабве")</f>
        <v>Зимбабве</v>
      </c>
      <c r="AF251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E125"/>
  <sheetViews>
    <sheetView workbookViewId="0"/>
  </sheetViews>
  <sheetFormatPr baseColWidth="10" defaultColWidth="12.6640625" defaultRowHeight="15.75" customHeight="1" x14ac:dyDescent="0.15"/>
  <sheetData>
    <row r="1" spans="1:5" ht="15.75" customHeight="1" x14ac:dyDescent="0.15">
      <c r="A1" s="51" t="s">
        <v>205</v>
      </c>
      <c r="B1" s="52" t="s">
        <v>206</v>
      </c>
      <c r="C1" s="52" t="s">
        <v>207</v>
      </c>
      <c r="D1" s="52" t="s">
        <v>208</v>
      </c>
      <c r="E1" s="52" t="s">
        <v>209</v>
      </c>
    </row>
    <row r="2" spans="1:5" ht="15.75" customHeight="1" x14ac:dyDescent="0.15">
      <c r="A2" s="52" t="s">
        <v>210</v>
      </c>
      <c r="B2" s="52" t="s">
        <v>211</v>
      </c>
      <c r="C2" s="52" t="s">
        <v>85</v>
      </c>
      <c r="D2" s="52">
        <v>1.0223</v>
      </c>
      <c r="E2" s="52">
        <v>1</v>
      </c>
    </row>
    <row r="3" spans="1:5" ht="15.75" customHeight="1" x14ac:dyDescent="0.15">
      <c r="A3" s="52" t="s">
        <v>212</v>
      </c>
      <c r="B3" s="52" t="s">
        <v>213</v>
      </c>
      <c r="C3" s="52" t="s">
        <v>184</v>
      </c>
      <c r="D3" s="52">
        <v>3.6730999999999998</v>
      </c>
      <c r="E3" s="52">
        <v>3.5960999999999999</v>
      </c>
    </row>
    <row r="4" spans="1:5" ht="15.75" customHeight="1" x14ac:dyDescent="0.15">
      <c r="A4" s="52" t="s">
        <v>214</v>
      </c>
      <c r="B4" s="52" t="s">
        <v>88</v>
      </c>
      <c r="C4" s="52" t="s">
        <v>89</v>
      </c>
      <c r="D4" s="52">
        <v>119.4753</v>
      </c>
      <c r="E4" s="52">
        <v>116.8793</v>
      </c>
    </row>
    <row r="5" spans="1:5" ht="15.75" customHeight="1" x14ac:dyDescent="0.15">
      <c r="A5" s="52" t="s">
        <v>215</v>
      </c>
      <c r="B5" s="52" t="s">
        <v>216</v>
      </c>
      <c r="C5" s="52" t="s">
        <v>217</v>
      </c>
      <c r="D5" s="52">
        <v>405.2647</v>
      </c>
      <c r="E5" s="52">
        <v>395.21069999999997</v>
      </c>
    </row>
    <row r="6" spans="1:5" ht="15.75" customHeight="1" x14ac:dyDescent="0.15">
      <c r="A6" s="52" t="s">
        <v>218</v>
      </c>
      <c r="B6" s="52" t="s">
        <v>219</v>
      </c>
      <c r="C6" s="52" t="s">
        <v>91</v>
      </c>
      <c r="D6" s="52">
        <v>149.34460000000001</v>
      </c>
      <c r="E6" s="52">
        <v>146.09350000000001</v>
      </c>
    </row>
    <row r="7" spans="1:5" ht="15.75" customHeight="1" x14ac:dyDescent="0.15">
      <c r="A7" s="52" t="s">
        <v>220</v>
      </c>
      <c r="B7" s="52" t="s">
        <v>94</v>
      </c>
      <c r="C7" s="52" t="s">
        <v>85</v>
      </c>
      <c r="D7" s="52">
        <v>1.0223</v>
      </c>
      <c r="E7" s="52">
        <v>1</v>
      </c>
    </row>
    <row r="8" spans="1:5" ht="15.75" customHeight="1" x14ac:dyDescent="0.15">
      <c r="A8" s="52" t="s">
        <v>221</v>
      </c>
      <c r="B8" s="52" t="s">
        <v>92</v>
      </c>
      <c r="C8" s="52" t="s">
        <v>93</v>
      </c>
      <c r="D8" s="52">
        <v>1.5551999999999999</v>
      </c>
      <c r="E8" s="52">
        <v>1.5354000000000001</v>
      </c>
    </row>
    <row r="9" spans="1:5" ht="15.75" customHeight="1" x14ac:dyDescent="0.15">
      <c r="A9" s="52" t="s">
        <v>222</v>
      </c>
      <c r="B9" s="52" t="s">
        <v>223</v>
      </c>
      <c r="C9" s="52" t="s">
        <v>224</v>
      </c>
      <c r="D9" s="52">
        <v>1.7</v>
      </c>
      <c r="E9" s="52">
        <v>1.6672</v>
      </c>
    </row>
    <row r="10" spans="1:5" ht="15.75" customHeight="1" x14ac:dyDescent="0.15">
      <c r="A10" s="52" t="s">
        <v>225</v>
      </c>
      <c r="B10" s="52" t="s">
        <v>226</v>
      </c>
      <c r="C10" s="52" t="s">
        <v>96</v>
      </c>
      <c r="D10" s="52">
        <v>2.0017</v>
      </c>
      <c r="E10" s="52">
        <v>1.9558</v>
      </c>
    </row>
    <row r="11" spans="1:5" ht="15.75" customHeight="1" x14ac:dyDescent="0.15">
      <c r="A11" s="52" t="s">
        <v>227</v>
      </c>
      <c r="B11" s="52" t="s">
        <v>228</v>
      </c>
      <c r="C11" s="52" t="s">
        <v>229</v>
      </c>
      <c r="D11" s="52">
        <v>102.2488</v>
      </c>
      <c r="E11" s="52">
        <v>99.915199999999999</v>
      </c>
    </row>
    <row r="12" spans="1:5" ht="15.75" customHeight="1" x14ac:dyDescent="0.15">
      <c r="A12" s="52" t="s">
        <v>230</v>
      </c>
      <c r="B12" s="52" t="s">
        <v>231</v>
      </c>
      <c r="C12" s="52" t="s">
        <v>85</v>
      </c>
      <c r="D12" s="52">
        <v>1.0223</v>
      </c>
      <c r="E12" s="52">
        <v>1</v>
      </c>
    </row>
    <row r="13" spans="1:5" ht="15.75" customHeight="1" x14ac:dyDescent="0.15">
      <c r="A13" s="52" t="s">
        <v>232</v>
      </c>
      <c r="B13" s="52" t="s">
        <v>233</v>
      </c>
      <c r="C13" s="52" t="s">
        <v>100</v>
      </c>
      <c r="D13" s="52">
        <v>1.9993000000000001</v>
      </c>
      <c r="E13" s="52">
        <v>1.9558</v>
      </c>
    </row>
    <row r="14" spans="1:5" ht="15.75" customHeight="1" x14ac:dyDescent="0.15">
      <c r="A14" s="52" t="s">
        <v>234</v>
      </c>
      <c r="B14" s="52" t="s">
        <v>235</v>
      </c>
      <c r="C14" s="52" t="s">
        <v>236</v>
      </c>
      <c r="D14" s="52">
        <v>6.9219999999999997</v>
      </c>
      <c r="E14" s="52">
        <v>6.7637999999999998</v>
      </c>
    </row>
    <row r="15" spans="1:5" ht="15.75" customHeight="1" x14ac:dyDescent="0.15">
      <c r="A15" s="52" t="s">
        <v>237</v>
      </c>
      <c r="B15" s="52" t="s">
        <v>238</v>
      </c>
      <c r="C15" s="52" t="s">
        <v>98</v>
      </c>
      <c r="D15" s="52">
        <v>5.2648999999999999</v>
      </c>
      <c r="E15" s="52">
        <v>5.1571999999999996</v>
      </c>
    </row>
    <row r="16" spans="1:5" ht="15.75" customHeight="1" x14ac:dyDescent="0.15">
      <c r="A16" s="52" t="s">
        <v>239</v>
      </c>
      <c r="B16" s="52" t="s">
        <v>240</v>
      </c>
      <c r="C16" s="52" t="s">
        <v>241</v>
      </c>
      <c r="D16" s="52">
        <v>13.343299999999999</v>
      </c>
      <c r="E16" s="52">
        <v>13.038</v>
      </c>
    </row>
    <row r="17" spans="1:5" ht="15.75" customHeight="1" x14ac:dyDescent="0.15">
      <c r="A17" s="52" t="s">
        <v>242</v>
      </c>
      <c r="B17" s="52" t="s">
        <v>243</v>
      </c>
      <c r="C17" s="52" t="s">
        <v>244</v>
      </c>
      <c r="D17" s="52">
        <v>2.5365000000000002</v>
      </c>
      <c r="E17" s="52">
        <v>2.4784999999999999</v>
      </c>
    </row>
    <row r="18" spans="1:5" ht="15.75" customHeight="1" x14ac:dyDescent="0.15">
      <c r="A18" s="52" t="s">
        <v>245</v>
      </c>
      <c r="B18" s="52" t="s">
        <v>246</v>
      </c>
      <c r="C18" s="52" t="s">
        <v>102</v>
      </c>
      <c r="D18" s="52">
        <v>1.3745000000000001</v>
      </c>
      <c r="E18" s="52">
        <v>1.3446</v>
      </c>
    </row>
    <row r="19" spans="1:5" ht="15.75" customHeight="1" x14ac:dyDescent="0.15">
      <c r="A19" s="52" t="s">
        <v>247</v>
      </c>
      <c r="B19" s="52" t="s">
        <v>248</v>
      </c>
      <c r="C19" s="52" t="s">
        <v>178</v>
      </c>
      <c r="D19" s="52">
        <v>0.99280000000000002</v>
      </c>
      <c r="E19" s="52">
        <v>0.97089999999999999</v>
      </c>
    </row>
    <row r="20" spans="1:5" ht="15.75" customHeight="1" x14ac:dyDescent="0.15">
      <c r="A20" s="52" t="s">
        <v>249</v>
      </c>
      <c r="B20" s="52" t="s">
        <v>250</v>
      </c>
      <c r="C20" s="52" t="s">
        <v>251</v>
      </c>
      <c r="D20" s="52">
        <v>670.04229999999995</v>
      </c>
      <c r="E20" s="52">
        <v>655.95699999999999</v>
      </c>
    </row>
    <row r="21" spans="1:5" ht="15.75" customHeight="1" x14ac:dyDescent="0.15">
      <c r="A21" s="52" t="s">
        <v>252</v>
      </c>
      <c r="B21" s="52" t="s">
        <v>103</v>
      </c>
      <c r="C21" s="52" t="s">
        <v>104</v>
      </c>
      <c r="D21" s="52">
        <v>945.78200000000004</v>
      </c>
      <c r="E21" s="52">
        <v>925.44500000000005</v>
      </c>
    </row>
    <row r="22" spans="1:5" ht="15.75" customHeight="1" x14ac:dyDescent="0.15">
      <c r="A22" s="52" t="s">
        <v>253</v>
      </c>
      <c r="B22" s="52" t="s">
        <v>254</v>
      </c>
      <c r="C22" s="52" t="s">
        <v>255</v>
      </c>
      <c r="D22" s="52">
        <v>671.32529999999997</v>
      </c>
      <c r="E22" s="52">
        <v>655.95699999999999</v>
      </c>
    </row>
    <row r="23" spans="1:5" ht="15.75" customHeight="1" x14ac:dyDescent="0.15">
      <c r="A23" s="52" t="s">
        <v>256</v>
      </c>
      <c r="B23" s="52" t="s">
        <v>257</v>
      </c>
      <c r="C23" s="52" t="s">
        <v>258</v>
      </c>
      <c r="D23" s="52">
        <v>7.1344000000000003</v>
      </c>
      <c r="E23" s="52">
        <v>6.9802</v>
      </c>
    </row>
    <row r="24" spans="1:5" ht="15.75" customHeight="1" x14ac:dyDescent="0.15">
      <c r="A24" s="52" t="s">
        <v>259</v>
      </c>
      <c r="B24" s="52" t="s">
        <v>260</v>
      </c>
      <c r="C24" s="52" t="s">
        <v>106</v>
      </c>
      <c r="D24" s="53">
        <v>4597.1792999999998</v>
      </c>
      <c r="E24" s="53">
        <v>4477.7933000000003</v>
      </c>
    </row>
    <row r="25" spans="1:5" ht="15.75" customHeight="1" x14ac:dyDescent="0.15">
      <c r="A25" s="52" t="s">
        <v>261</v>
      </c>
      <c r="B25" s="52" t="s">
        <v>262</v>
      </c>
      <c r="C25" s="52" t="s">
        <v>263</v>
      </c>
      <c r="D25" s="52">
        <v>629.65560000000005</v>
      </c>
      <c r="E25" s="52">
        <v>615.2473</v>
      </c>
    </row>
    <row r="26" spans="1:5" ht="15.75" customHeight="1" x14ac:dyDescent="0.15">
      <c r="A26" s="52" t="s">
        <v>264</v>
      </c>
      <c r="B26" s="52" t="s">
        <v>265</v>
      </c>
      <c r="C26" s="52" t="s">
        <v>86</v>
      </c>
      <c r="D26" s="52">
        <v>1</v>
      </c>
      <c r="E26" s="52">
        <v>0.97819999999999996</v>
      </c>
    </row>
    <row r="27" spans="1:5" ht="15.75" customHeight="1" x14ac:dyDescent="0.15">
      <c r="A27" s="52" t="s">
        <v>266</v>
      </c>
      <c r="B27" s="52" t="s">
        <v>267</v>
      </c>
      <c r="C27" s="52" t="s">
        <v>85</v>
      </c>
      <c r="D27" s="52">
        <v>1.0223</v>
      </c>
      <c r="E27" s="52">
        <v>1</v>
      </c>
    </row>
    <row r="28" spans="1:5" ht="15.75" customHeight="1" x14ac:dyDescent="0.15">
      <c r="A28" s="52" t="s">
        <v>268</v>
      </c>
      <c r="B28" s="52" t="s">
        <v>269</v>
      </c>
      <c r="C28" s="52" t="s">
        <v>110</v>
      </c>
      <c r="D28" s="52">
        <v>25.088200000000001</v>
      </c>
      <c r="E28" s="52">
        <v>24.5395</v>
      </c>
    </row>
    <row r="29" spans="1:5" ht="15.75" customHeight="1" x14ac:dyDescent="0.15">
      <c r="A29" s="52" t="s">
        <v>270</v>
      </c>
      <c r="B29" s="52" t="s">
        <v>271</v>
      </c>
      <c r="C29" s="52" t="s">
        <v>85</v>
      </c>
      <c r="D29" s="52">
        <v>1.0223</v>
      </c>
      <c r="E29" s="52">
        <v>1</v>
      </c>
    </row>
    <row r="30" spans="1:5" ht="15.75" customHeight="1" x14ac:dyDescent="0.15">
      <c r="A30" s="52" t="s">
        <v>272</v>
      </c>
      <c r="B30" s="52" t="s">
        <v>273</v>
      </c>
      <c r="C30" s="52" t="s">
        <v>274</v>
      </c>
      <c r="D30" s="52">
        <v>7.6043000000000003</v>
      </c>
      <c r="E30" s="52">
        <v>7.4382000000000001</v>
      </c>
    </row>
    <row r="31" spans="1:5" ht="15.75" customHeight="1" x14ac:dyDescent="0.15">
      <c r="A31" s="52" t="s">
        <v>275</v>
      </c>
      <c r="B31" s="52" t="s">
        <v>276</v>
      </c>
      <c r="C31" s="52" t="s">
        <v>277</v>
      </c>
      <c r="D31" s="52">
        <v>53.677799999999998</v>
      </c>
      <c r="E31" s="52">
        <v>52.407299999999999</v>
      </c>
    </row>
    <row r="32" spans="1:5" ht="15.75" customHeight="1" x14ac:dyDescent="0.15">
      <c r="A32" s="52" t="s">
        <v>278</v>
      </c>
      <c r="B32" s="52" t="s">
        <v>279</v>
      </c>
      <c r="C32" s="52" t="s">
        <v>280</v>
      </c>
      <c r="D32" s="52">
        <v>140.46629999999999</v>
      </c>
      <c r="E32" s="52">
        <v>137.5522</v>
      </c>
    </row>
    <row r="33" spans="1:5" ht="15.75" customHeight="1" x14ac:dyDescent="0.15">
      <c r="A33" s="52" t="s">
        <v>281</v>
      </c>
      <c r="B33" s="52" t="s">
        <v>282</v>
      </c>
      <c r="C33" s="52" t="s">
        <v>86</v>
      </c>
      <c r="D33" s="52">
        <v>1</v>
      </c>
      <c r="E33" s="52">
        <v>0.97819999999999996</v>
      </c>
    </row>
    <row r="34" spans="1:5" ht="15.75" customHeight="1" x14ac:dyDescent="0.15">
      <c r="A34" s="52" t="s">
        <v>283</v>
      </c>
      <c r="B34" s="52" t="s">
        <v>113</v>
      </c>
      <c r="C34" s="52" t="s">
        <v>85</v>
      </c>
      <c r="D34" s="52">
        <v>1.0223</v>
      </c>
      <c r="E34" s="52">
        <v>1</v>
      </c>
    </row>
    <row r="35" spans="1:5" ht="15.75" customHeight="1" x14ac:dyDescent="0.15">
      <c r="A35" s="52" t="s">
        <v>284</v>
      </c>
      <c r="B35" s="52" t="s">
        <v>285</v>
      </c>
      <c r="C35" s="52" t="s">
        <v>112</v>
      </c>
      <c r="D35" s="52">
        <v>19.648900000000001</v>
      </c>
      <c r="E35" s="52">
        <v>19.222300000000001</v>
      </c>
    </row>
    <row r="36" spans="1:5" ht="15.75" customHeight="1" x14ac:dyDescent="0.15">
      <c r="A36" s="52" t="s">
        <v>286</v>
      </c>
      <c r="B36" s="52" t="s">
        <v>287</v>
      </c>
      <c r="C36" s="52" t="s">
        <v>85</v>
      </c>
      <c r="D36" s="52">
        <v>1.0223</v>
      </c>
      <c r="E36" s="52">
        <v>1</v>
      </c>
    </row>
    <row r="37" spans="1:5" ht="15.75" customHeight="1" x14ac:dyDescent="0.15">
      <c r="A37" s="52" t="s">
        <v>288</v>
      </c>
      <c r="B37" s="52" t="s">
        <v>289</v>
      </c>
      <c r="C37" s="52" t="s">
        <v>85</v>
      </c>
      <c r="D37" s="52">
        <v>1.0223</v>
      </c>
      <c r="E37" s="52">
        <v>1</v>
      </c>
    </row>
    <row r="38" spans="1:5" ht="15.75" customHeight="1" x14ac:dyDescent="0.15">
      <c r="A38" s="52" t="s">
        <v>290</v>
      </c>
      <c r="B38" s="52" t="s">
        <v>291</v>
      </c>
      <c r="C38" s="52" t="s">
        <v>85</v>
      </c>
      <c r="D38" s="52">
        <v>1.0223</v>
      </c>
      <c r="E38" s="52">
        <v>1</v>
      </c>
    </row>
    <row r="39" spans="1:5" ht="13" x14ac:dyDescent="0.15">
      <c r="A39" s="52" t="s">
        <v>292</v>
      </c>
      <c r="B39" s="52" t="s">
        <v>293</v>
      </c>
      <c r="C39" s="52" t="s">
        <v>294</v>
      </c>
      <c r="D39" s="52">
        <v>2.7967</v>
      </c>
      <c r="E39" s="52">
        <v>2.7349000000000001</v>
      </c>
    </row>
    <row r="40" spans="1:5" ht="13" x14ac:dyDescent="0.15">
      <c r="A40" s="52" t="s">
        <v>295</v>
      </c>
      <c r="B40" s="52" t="s">
        <v>296</v>
      </c>
      <c r="C40" s="52" t="s">
        <v>297</v>
      </c>
      <c r="D40" s="52">
        <v>10.6007</v>
      </c>
      <c r="E40" s="52">
        <v>10.3507</v>
      </c>
    </row>
    <row r="41" spans="1:5" ht="13" x14ac:dyDescent="0.15">
      <c r="A41" s="52" t="s">
        <v>298</v>
      </c>
      <c r="B41" s="52" t="s">
        <v>299</v>
      </c>
      <c r="C41" s="52" t="s">
        <v>85</v>
      </c>
      <c r="D41" s="52">
        <v>1.0223</v>
      </c>
      <c r="E41" s="52">
        <v>1</v>
      </c>
    </row>
    <row r="42" spans="1:5" ht="13" x14ac:dyDescent="0.15">
      <c r="A42" s="52" t="s">
        <v>300</v>
      </c>
      <c r="B42" s="52" t="s">
        <v>301</v>
      </c>
      <c r="C42" s="52" t="s">
        <v>302</v>
      </c>
      <c r="D42" s="52">
        <v>7.8948999999999998</v>
      </c>
      <c r="E42" s="52">
        <v>7.7145000000000001</v>
      </c>
    </row>
    <row r="43" spans="1:5" ht="13" x14ac:dyDescent="0.15">
      <c r="A43" s="52" t="s">
        <v>303</v>
      </c>
      <c r="B43" s="52" t="s">
        <v>304</v>
      </c>
      <c r="C43" s="52" t="s">
        <v>119</v>
      </c>
      <c r="D43" s="52">
        <v>7.8498999999999999</v>
      </c>
      <c r="E43" s="52">
        <v>7.6786000000000003</v>
      </c>
    </row>
    <row r="44" spans="1:5" ht="13" x14ac:dyDescent="0.15">
      <c r="A44" s="52" t="s">
        <v>305</v>
      </c>
      <c r="B44" s="52" t="s">
        <v>306</v>
      </c>
      <c r="C44" s="52" t="s">
        <v>307</v>
      </c>
      <c r="D44" s="52">
        <v>24.772300000000001</v>
      </c>
      <c r="E44" s="52">
        <v>24.161899999999999</v>
      </c>
    </row>
    <row r="45" spans="1:5" ht="13" x14ac:dyDescent="0.15">
      <c r="A45" s="52" t="s">
        <v>308</v>
      </c>
      <c r="B45" s="52" t="s">
        <v>309</v>
      </c>
      <c r="C45" s="52" t="s">
        <v>108</v>
      </c>
      <c r="D45" s="52">
        <v>7.6928000000000001</v>
      </c>
      <c r="E45" s="52">
        <v>7.5871000000000004</v>
      </c>
    </row>
    <row r="46" spans="1:5" ht="13" x14ac:dyDescent="0.15">
      <c r="A46" s="52" t="s">
        <v>310</v>
      </c>
      <c r="B46" s="52" t="s">
        <v>311</v>
      </c>
      <c r="C46" s="52" t="s">
        <v>121</v>
      </c>
      <c r="D46" s="52">
        <v>433.42250000000001</v>
      </c>
      <c r="E46" s="52">
        <v>423.89510000000001</v>
      </c>
    </row>
    <row r="47" spans="1:5" ht="13" x14ac:dyDescent="0.15">
      <c r="A47" s="52" t="s">
        <v>312</v>
      </c>
      <c r="B47" s="52" t="s">
        <v>313</v>
      </c>
      <c r="C47" s="52" t="s">
        <v>125</v>
      </c>
      <c r="D47" s="53">
        <v>15297.3133</v>
      </c>
      <c r="E47" s="53">
        <v>14983.97</v>
      </c>
    </row>
    <row r="48" spans="1:5" ht="13" x14ac:dyDescent="0.15">
      <c r="A48" s="52" t="s">
        <v>314</v>
      </c>
      <c r="B48" s="52" t="s">
        <v>315</v>
      </c>
      <c r="C48" s="52" t="s">
        <v>85</v>
      </c>
      <c r="D48" s="52">
        <v>1.0223</v>
      </c>
      <c r="E48" s="52">
        <v>1</v>
      </c>
    </row>
    <row r="49" spans="1:5" ht="13" x14ac:dyDescent="0.15">
      <c r="A49" s="52" t="s">
        <v>316</v>
      </c>
      <c r="B49" s="52" t="s">
        <v>317</v>
      </c>
      <c r="C49" s="52" t="s">
        <v>128</v>
      </c>
      <c r="D49" s="52">
        <v>3.5518999999999998</v>
      </c>
      <c r="E49" s="52">
        <v>3.4763000000000002</v>
      </c>
    </row>
    <row r="50" spans="1:5" ht="13" x14ac:dyDescent="0.15">
      <c r="A50" s="52" t="s">
        <v>318</v>
      </c>
      <c r="B50" s="52" t="s">
        <v>319</v>
      </c>
      <c r="C50" s="52" t="s">
        <v>123</v>
      </c>
      <c r="D50" s="52">
        <v>82.117400000000004</v>
      </c>
      <c r="E50" s="52">
        <v>80.320800000000006</v>
      </c>
    </row>
    <row r="51" spans="1:5" ht="13" x14ac:dyDescent="0.15">
      <c r="A51" s="52" t="s">
        <v>320</v>
      </c>
      <c r="B51" s="52" t="s">
        <v>321</v>
      </c>
      <c r="C51" s="52" t="s">
        <v>322</v>
      </c>
      <c r="D51" s="53">
        <v>1461.5242000000001</v>
      </c>
      <c r="E51" s="53">
        <v>1427.8172999999999</v>
      </c>
    </row>
    <row r="52" spans="1:5" ht="13" x14ac:dyDescent="0.15">
      <c r="A52" s="52" t="s">
        <v>323</v>
      </c>
      <c r="B52" s="52" t="s">
        <v>324</v>
      </c>
      <c r="C52" s="52" t="s">
        <v>325</v>
      </c>
      <c r="D52" s="53">
        <v>42326.666700000002</v>
      </c>
      <c r="E52" s="53">
        <v>41405.888400000003</v>
      </c>
    </row>
    <row r="53" spans="1:5" ht="13" x14ac:dyDescent="0.15">
      <c r="A53" s="52" t="s">
        <v>326</v>
      </c>
      <c r="B53" s="52" t="s">
        <v>327</v>
      </c>
      <c r="C53" s="52" t="s">
        <v>328</v>
      </c>
      <c r="D53" s="52">
        <v>143.96</v>
      </c>
      <c r="E53" s="52">
        <v>141.38669999999999</v>
      </c>
    </row>
    <row r="54" spans="1:5" ht="13" x14ac:dyDescent="0.15">
      <c r="A54" s="52" t="s">
        <v>329</v>
      </c>
      <c r="B54" s="52" t="s">
        <v>330</v>
      </c>
      <c r="C54" s="52" t="s">
        <v>85</v>
      </c>
      <c r="D54" s="52">
        <v>1.0223</v>
      </c>
      <c r="E54" s="52">
        <v>1</v>
      </c>
    </row>
    <row r="55" spans="1:5" ht="13" x14ac:dyDescent="0.15">
      <c r="A55" s="52" t="s">
        <v>331</v>
      </c>
      <c r="B55" s="52" t="s">
        <v>332</v>
      </c>
      <c r="C55" s="52" t="s">
        <v>333</v>
      </c>
      <c r="D55" s="52">
        <v>152.8903</v>
      </c>
      <c r="E55" s="52">
        <v>149.39019999999999</v>
      </c>
    </row>
    <row r="56" spans="1:5" ht="13" x14ac:dyDescent="0.15">
      <c r="A56" s="52" t="s">
        <v>334</v>
      </c>
      <c r="B56" s="52" t="s">
        <v>335</v>
      </c>
      <c r="C56" s="52" t="s">
        <v>336</v>
      </c>
      <c r="D56" s="52">
        <v>0.70899999999999996</v>
      </c>
      <c r="E56" s="52">
        <v>0.69420000000000004</v>
      </c>
    </row>
    <row r="57" spans="1:5" ht="13" x14ac:dyDescent="0.15">
      <c r="A57" s="52" t="s">
        <v>337</v>
      </c>
      <c r="B57" s="52" t="s">
        <v>338</v>
      </c>
      <c r="C57" s="52" t="s">
        <v>131</v>
      </c>
      <c r="D57" s="52">
        <v>145.51560000000001</v>
      </c>
      <c r="E57" s="52">
        <v>142.3492</v>
      </c>
    </row>
    <row r="58" spans="1:5" ht="13" x14ac:dyDescent="0.15">
      <c r="A58" s="52" t="s">
        <v>339</v>
      </c>
      <c r="B58" s="52" t="s">
        <v>340</v>
      </c>
      <c r="C58" s="52" t="s">
        <v>341</v>
      </c>
      <c r="D58" s="52">
        <v>120.9742</v>
      </c>
      <c r="E58" s="52">
        <v>118.2415</v>
      </c>
    </row>
    <row r="59" spans="1:5" ht="13" x14ac:dyDescent="0.15">
      <c r="A59" s="52" t="s">
        <v>342</v>
      </c>
      <c r="B59" s="52" t="s">
        <v>343</v>
      </c>
      <c r="C59" s="52" t="s">
        <v>344</v>
      </c>
      <c r="D59" s="52">
        <v>81.325299999999999</v>
      </c>
      <c r="E59" s="52">
        <v>79.550299999999993</v>
      </c>
    </row>
    <row r="60" spans="1:5" ht="13" x14ac:dyDescent="0.15">
      <c r="A60" s="52" t="s">
        <v>345</v>
      </c>
      <c r="B60" s="52" t="s">
        <v>346</v>
      </c>
      <c r="C60" s="52" t="s">
        <v>347</v>
      </c>
      <c r="D60" s="53">
        <v>4137.9858999999997</v>
      </c>
      <c r="E60" s="53">
        <v>4035.1732999999999</v>
      </c>
    </row>
    <row r="61" spans="1:5" ht="13" x14ac:dyDescent="0.15">
      <c r="A61" s="52" t="s">
        <v>348</v>
      </c>
      <c r="B61" s="52" t="s">
        <v>349</v>
      </c>
      <c r="C61" s="52" t="s">
        <v>173</v>
      </c>
      <c r="D61" s="53">
        <v>1428.1313</v>
      </c>
      <c r="E61" s="53">
        <v>1396.1623</v>
      </c>
    </row>
    <row r="62" spans="1:5" ht="13" x14ac:dyDescent="0.15">
      <c r="A62" s="52" t="s">
        <v>350</v>
      </c>
      <c r="B62" s="52" t="s">
        <v>351</v>
      </c>
      <c r="C62" s="52" t="s">
        <v>352</v>
      </c>
      <c r="D62" s="52">
        <v>0.31</v>
      </c>
      <c r="E62" s="52">
        <v>0.30349999999999999</v>
      </c>
    </row>
    <row r="63" spans="1:5" ht="13" x14ac:dyDescent="0.15">
      <c r="A63" s="52" t="s">
        <v>353</v>
      </c>
      <c r="B63" s="52" t="s">
        <v>354</v>
      </c>
      <c r="C63" s="52" t="s">
        <v>133</v>
      </c>
      <c r="D63" s="52">
        <v>475.00319999999999</v>
      </c>
      <c r="E63" s="52">
        <v>464.1293</v>
      </c>
    </row>
    <row r="64" spans="1:5" ht="13" x14ac:dyDescent="0.15">
      <c r="A64" s="52" t="s">
        <v>355</v>
      </c>
      <c r="B64" s="52" t="s">
        <v>356</v>
      </c>
      <c r="C64" s="52" t="s">
        <v>357</v>
      </c>
      <c r="D64" s="53">
        <v>16665.851999999999</v>
      </c>
      <c r="E64" s="53">
        <v>16319.4133</v>
      </c>
    </row>
    <row r="65" spans="1:5" ht="13" x14ac:dyDescent="0.15">
      <c r="A65" s="52" t="s">
        <v>358</v>
      </c>
      <c r="B65" s="52" t="s">
        <v>359</v>
      </c>
      <c r="C65" s="52" t="s">
        <v>360</v>
      </c>
      <c r="D65" s="53">
        <v>1519.8379</v>
      </c>
      <c r="E65" s="53">
        <v>1485.6732999999999</v>
      </c>
    </row>
    <row r="66" spans="1:5" ht="13" x14ac:dyDescent="0.15">
      <c r="A66" s="52" t="s">
        <v>361</v>
      </c>
      <c r="B66" s="52" t="s">
        <v>362</v>
      </c>
      <c r="C66" s="52" t="s">
        <v>178</v>
      </c>
      <c r="D66" s="52">
        <v>0.99280000000000002</v>
      </c>
      <c r="E66" s="52">
        <v>0.97089999999999999</v>
      </c>
    </row>
    <row r="67" spans="1:5" ht="13" x14ac:dyDescent="0.15">
      <c r="A67" s="52" t="s">
        <v>363</v>
      </c>
      <c r="B67" s="52" t="s">
        <v>364</v>
      </c>
      <c r="C67" s="52" t="s">
        <v>365</v>
      </c>
      <c r="D67" s="52">
        <v>364.92340000000002</v>
      </c>
      <c r="E67" s="52">
        <v>356.57510000000002</v>
      </c>
    </row>
    <row r="68" spans="1:5" ht="13" x14ac:dyDescent="0.15">
      <c r="A68" s="52" t="s">
        <v>366</v>
      </c>
      <c r="B68" s="52" t="s">
        <v>367</v>
      </c>
      <c r="C68" s="52" t="s">
        <v>85</v>
      </c>
      <c r="D68" s="52">
        <v>1.0223</v>
      </c>
      <c r="E68" s="52">
        <v>1</v>
      </c>
    </row>
    <row r="69" spans="1:5" ht="13" x14ac:dyDescent="0.15">
      <c r="A69" s="52" t="s">
        <v>368</v>
      </c>
      <c r="B69" s="52" t="s">
        <v>369</v>
      </c>
      <c r="C69" s="52" t="s">
        <v>85</v>
      </c>
      <c r="D69" s="52">
        <v>1.0223</v>
      </c>
      <c r="E69" s="52">
        <v>1</v>
      </c>
    </row>
    <row r="70" spans="1:5" ht="13" x14ac:dyDescent="0.15">
      <c r="A70" s="52" t="s">
        <v>370</v>
      </c>
      <c r="B70" s="52" t="s">
        <v>371</v>
      </c>
      <c r="C70" s="52" t="s">
        <v>85</v>
      </c>
      <c r="D70" s="52">
        <v>1.0223</v>
      </c>
      <c r="E70" s="52">
        <v>1</v>
      </c>
    </row>
    <row r="71" spans="1:5" ht="13" x14ac:dyDescent="0.15">
      <c r="A71" s="52" t="s">
        <v>372</v>
      </c>
      <c r="B71" s="52" t="s">
        <v>373</v>
      </c>
      <c r="C71" s="52" t="s">
        <v>374</v>
      </c>
      <c r="D71" s="52">
        <v>10.9785</v>
      </c>
      <c r="E71" s="52">
        <v>10.7354</v>
      </c>
    </row>
    <row r="72" spans="1:5" ht="13" x14ac:dyDescent="0.15">
      <c r="A72" s="52" t="s">
        <v>375</v>
      </c>
      <c r="B72" s="52" t="s">
        <v>376</v>
      </c>
      <c r="C72" s="52" t="s">
        <v>141</v>
      </c>
      <c r="D72" s="52">
        <v>19.470400000000001</v>
      </c>
      <c r="E72" s="52">
        <v>19.025700000000001</v>
      </c>
    </row>
    <row r="73" spans="1:5" ht="13" x14ac:dyDescent="0.15">
      <c r="A73" s="52" t="s">
        <v>377</v>
      </c>
      <c r="B73" s="52" t="s">
        <v>378</v>
      </c>
      <c r="C73" s="52" t="s">
        <v>85</v>
      </c>
      <c r="D73" s="52">
        <v>1.0223</v>
      </c>
      <c r="E73" s="52">
        <v>1</v>
      </c>
    </row>
    <row r="74" spans="1:5" ht="13" x14ac:dyDescent="0.15">
      <c r="A74" s="52" t="s">
        <v>379</v>
      </c>
      <c r="B74" s="52" t="s">
        <v>380</v>
      </c>
      <c r="C74" s="52" t="s">
        <v>381</v>
      </c>
      <c r="D74" s="53">
        <v>4224.1575000000003</v>
      </c>
      <c r="E74" s="53">
        <v>4158.3919999999998</v>
      </c>
    </row>
    <row r="75" spans="1:5" ht="13" x14ac:dyDescent="0.15">
      <c r="A75" s="52" t="s">
        <v>382</v>
      </c>
      <c r="B75" s="52" t="s">
        <v>383</v>
      </c>
      <c r="C75" s="52" t="s">
        <v>149</v>
      </c>
      <c r="D75" s="52">
        <v>63.005200000000002</v>
      </c>
      <c r="E75" s="52">
        <v>61.603000000000002</v>
      </c>
    </row>
    <row r="76" spans="1:5" ht="13" x14ac:dyDescent="0.15">
      <c r="A76" s="52" t="s">
        <v>384</v>
      </c>
      <c r="B76" s="52" t="s">
        <v>385</v>
      </c>
      <c r="C76" s="52" t="s">
        <v>85</v>
      </c>
      <c r="D76" s="52">
        <v>1.0223</v>
      </c>
      <c r="E76" s="52">
        <v>1</v>
      </c>
    </row>
    <row r="77" spans="1:5" ht="13" x14ac:dyDescent="0.15">
      <c r="A77" s="52" t="s">
        <v>386</v>
      </c>
      <c r="B77" s="52" t="s">
        <v>387</v>
      </c>
      <c r="C77" s="52" t="s">
        <v>388</v>
      </c>
      <c r="D77" s="52">
        <v>45.1004</v>
      </c>
      <c r="E77" s="52">
        <v>44.158499999999997</v>
      </c>
    </row>
    <row r="78" spans="1:5" ht="13" x14ac:dyDescent="0.15">
      <c r="A78" s="52" t="s">
        <v>389</v>
      </c>
      <c r="B78" s="52" t="s">
        <v>390</v>
      </c>
      <c r="C78" s="52" t="s">
        <v>139</v>
      </c>
      <c r="D78" s="52">
        <v>20.051200000000001</v>
      </c>
      <c r="E78" s="52">
        <v>19.614599999999999</v>
      </c>
    </row>
    <row r="79" spans="1:5" ht="13" x14ac:dyDescent="0.15">
      <c r="A79" s="52" t="s">
        <v>391</v>
      </c>
      <c r="B79" s="52" t="s">
        <v>392</v>
      </c>
      <c r="C79" s="52" t="s">
        <v>137</v>
      </c>
      <c r="D79" s="52">
        <v>4.6527000000000003</v>
      </c>
      <c r="E79" s="52">
        <v>4.5842000000000001</v>
      </c>
    </row>
    <row r="80" spans="1:5" ht="13" x14ac:dyDescent="0.15">
      <c r="A80" s="52" t="s">
        <v>393</v>
      </c>
      <c r="B80" s="52" t="s">
        <v>394</v>
      </c>
      <c r="C80" s="52" t="s">
        <v>395</v>
      </c>
      <c r="D80" s="52">
        <v>18.0167</v>
      </c>
      <c r="E80" s="52">
        <v>17.628399999999999</v>
      </c>
    </row>
    <row r="81" spans="1:5" ht="13" x14ac:dyDescent="0.15">
      <c r="A81" s="52" t="s">
        <v>396</v>
      </c>
      <c r="B81" s="52" t="s">
        <v>146</v>
      </c>
      <c r="C81" s="52" t="s">
        <v>147</v>
      </c>
      <c r="D81" s="52">
        <v>432.2987</v>
      </c>
      <c r="E81" s="52">
        <v>424.56599999999997</v>
      </c>
    </row>
    <row r="82" spans="1:5" ht="13" x14ac:dyDescent="0.15">
      <c r="A82" s="52" t="s">
        <v>397</v>
      </c>
      <c r="B82" s="52" t="s">
        <v>398</v>
      </c>
      <c r="C82" s="52" t="s">
        <v>399</v>
      </c>
      <c r="D82" s="52">
        <v>36.011699999999998</v>
      </c>
      <c r="E82" s="52">
        <v>35.188699999999997</v>
      </c>
    </row>
    <row r="83" spans="1:5" ht="13" x14ac:dyDescent="0.15">
      <c r="A83" s="52" t="s">
        <v>400</v>
      </c>
      <c r="B83" s="52" t="s">
        <v>401</v>
      </c>
      <c r="C83" s="52" t="s">
        <v>85</v>
      </c>
      <c r="D83" s="52">
        <v>1.0223</v>
      </c>
      <c r="E83" s="52">
        <v>1</v>
      </c>
    </row>
    <row r="84" spans="1:5" ht="13" x14ac:dyDescent="0.15">
      <c r="A84" s="52" t="s">
        <v>402</v>
      </c>
      <c r="B84" s="52" t="s">
        <v>403</v>
      </c>
      <c r="C84" s="52" t="s">
        <v>151</v>
      </c>
      <c r="D84" s="52">
        <v>10.701000000000001</v>
      </c>
      <c r="E84" s="52">
        <v>10.4726</v>
      </c>
    </row>
    <row r="85" spans="1:5" ht="13" x14ac:dyDescent="0.15">
      <c r="A85" s="52" t="s">
        <v>404</v>
      </c>
      <c r="B85" s="52" t="s">
        <v>405</v>
      </c>
      <c r="C85" s="52" t="s">
        <v>406</v>
      </c>
      <c r="D85" s="52">
        <v>131.34049999999999</v>
      </c>
      <c r="E85" s="52">
        <v>128.3383</v>
      </c>
    </row>
    <row r="86" spans="1:5" ht="13" x14ac:dyDescent="0.15">
      <c r="A86" s="52" t="s">
        <v>407</v>
      </c>
      <c r="B86" s="52" t="s">
        <v>408</v>
      </c>
      <c r="C86" s="52" t="s">
        <v>145</v>
      </c>
      <c r="D86" s="52">
        <v>1.7761</v>
      </c>
      <c r="E86" s="52">
        <v>1.7431000000000001</v>
      </c>
    </row>
    <row r="87" spans="1:5" ht="13" x14ac:dyDescent="0.15">
      <c r="A87" s="52" t="s">
        <v>409</v>
      </c>
      <c r="B87" s="52" t="s">
        <v>410</v>
      </c>
      <c r="C87" s="52" t="s">
        <v>411</v>
      </c>
      <c r="D87" s="52">
        <v>0.38500000000000001</v>
      </c>
      <c r="E87" s="52">
        <v>0.377</v>
      </c>
    </row>
    <row r="88" spans="1:5" ht="13" x14ac:dyDescent="0.15">
      <c r="A88" s="52" t="s">
        <v>412</v>
      </c>
      <c r="B88" s="52" t="s">
        <v>413</v>
      </c>
      <c r="C88" s="52" t="s">
        <v>414</v>
      </c>
      <c r="D88" s="52">
        <v>1.0012000000000001</v>
      </c>
      <c r="E88" s="52">
        <v>0.97829999999999995</v>
      </c>
    </row>
    <row r="89" spans="1:5" ht="13" x14ac:dyDescent="0.15">
      <c r="A89" s="52" t="s">
        <v>415</v>
      </c>
      <c r="B89" s="52" t="s">
        <v>154</v>
      </c>
      <c r="C89" s="52" t="s">
        <v>155</v>
      </c>
      <c r="D89" s="52">
        <v>3.9742999999999999</v>
      </c>
      <c r="E89" s="52">
        <v>3.8849999999999998</v>
      </c>
    </row>
    <row r="90" spans="1:5" ht="13" x14ac:dyDescent="0.15">
      <c r="A90" s="52" t="s">
        <v>416</v>
      </c>
      <c r="B90" s="52" t="s">
        <v>417</v>
      </c>
      <c r="C90" s="52" t="s">
        <v>157</v>
      </c>
      <c r="D90" s="52">
        <v>58.970199999999998</v>
      </c>
      <c r="E90" s="52">
        <v>57.629800000000003</v>
      </c>
    </row>
    <row r="91" spans="1:5" ht="13" x14ac:dyDescent="0.15">
      <c r="A91" s="52" t="s">
        <v>418</v>
      </c>
      <c r="B91" s="52" t="s">
        <v>152</v>
      </c>
      <c r="C91" s="52" t="s">
        <v>153</v>
      </c>
      <c r="D91" s="52">
        <v>222.79740000000001</v>
      </c>
      <c r="E91" s="52">
        <v>217.87039999999999</v>
      </c>
    </row>
    <row r="92" spans="1:5" ht="13" x14ac:dyDescent="0.15">
      <c r="A92" s="52" t="s">
        <v>419</v>
      </c>
      <c r="B92" s="52" t="s">
        <v>420</v>
      </c>
      <c r="C92" s="52" t="s">
        <v>159</v>
      </c>
      <c r="D92" s="52">
        <v>4.9511000000000003</v>
      </c>
      <c r="E92" s="52">
        <v>4.8433999999999999</v>
      </c>
    </row>
    <row r="93" spans="1:5" ht="13" x14ac:dyDescent="0.15">
      <c r="A93" s="52" t="s">
        <v>421</v>
      </c>
      <c r="B93" s="52" t="s">
        <v>422</v>
      </c>
      <c r="C93" s="52" t="s">
        <v>86</v>
      </c>
      <c r="D93" s="52">
        <v>1</v>
      </c>
      <c r="E93" s="52">
        <v>0.97819999999999996</v>
      </c>
    </row>
    <row r="94" spans="1:5" ht="13" x14ac:dyDescent="0.15">
      <c r="A94" s="52" t="s">
        <v>423</v>
      </c>
      <c r="B94" s="52" t="s">
        <v>424</v>
      </c>
      <c r="C94" s="52" t="s">
        <v>85</v>
      </c>
      <c r="D94" s="52">
        <v>1.0223</v>
      </c>
      <c r="E94" s="52">
        <v>1</v>
      </c>
    </row>
    <row r="95" spans="1:5" ht="13" x14ac:dyDescent="0.15">
      <c r="A95" s="52" t="s">
        <v>425</v>
      </c>
      <c r="B95" s="52" t="s">
        <v>426</v>
      </c>
      <c r="C95" s="52" t="s">
        <v>427</v>
      </c>
      <c r="D95" s="53">
        <v>7101.2731000000003</v>
      </c>
      <c r="E95" s="53">
        <v>6938.9066999999995</v>
      </c>
    </row>
    <row r="96" spans="1:5" ht="13" x14ac:dyDescent="0.15">
      <c r="A96" s="52" t="s">
        <v>428</v>
      </c>
      <c r="B96" s="52" t="s">
        <v>429</v>
      </c>
      <c r="C96" s="52" t="s">
        <v>430</v>
      </c>
      <c r="D96" s="52">
        <v>3.641</v>
      </c>
      <c r="E96" s="52">
        <v>3.5710000000000002</v>
      </c>
    </row>
    <row r="97" spans="1:5" ht="13" x14ac:dyDescent="0.15">
      <c r="A97" s="52" t="s">
        <v>431</v>
      </c>
      <c r="B97" s="52" t="s">
        <v>432</v>
      </c>
      <c r="C97" s="52" t="s">
        <v>162</v>
      </c>
      <c r="D97" s="52">
        <v>5.0500999999999996</v>
      </c>
      <c r="E97" s="52">
        <v>4.9481000000000002</v>
      </c>
    </row>
    <row r="98" spans="1:5" ht="13" x14ac:dyDescent="0.15">
      <c r="A98" s="52" t="s">
        <v>433</v>
      </c>
      <c r="B98" s="52" t="s">
        <v>165</v>
      </c>
      <c r="C98" s="52" t="s">
        <v>166</v>
      </c>
      <c r="D98" s="52">
        <v>119.9141</v>
      </c>
      <c r="E98" s="52">
        <v>117.29649999999999</v>
      </c>
    </row>
    <row r="99" spans="1:5" ht="13" x14ac:dyDescent="0.15">
      <c r="A99" s="52" t="s">
        <v>434</v>
      </c>
      <c r="B99" s="52" t="s">
        <v>435</v>
      </c>
      <c r="C99" s="52" t="s">
        <v>436</v>
      </c>
      <c r="D99" s="52">
        <v>61.716299999999997</v>
      </c>
      <c r="E99" s="52">
        <v>59.733600000000003</v>
      </c>
    </row>
    <row r="100" spans="1:5" ht="13" x14ac:dyDescent="0.15">
      <c r="A100" s="52" t="s">
        <v>437</v>
      </c>
      <c r="B100" s="52" t="s">
        <v>438</v>
      </c>
      <c r="C100" s="52" t="s">
        <v>439</v>
      </c>
      <c r="D100" s="53">
        <v>1050.6097</v>
      </c>
      <c r="E100" s="53">
        <v>1040.1199999999999</v>
      </c>
    </row>
    <row r="101" spans="1:5" ht="13" x14ac:dyDescent="0.15">
      <c r="A101" s="52" t="s">
        <v>440</v>
      </c>
      <c r="B101" s="52" t="s">
        <v>441</v>
      </c>
      <c r="C101" s="52" t="s">
        <v>164</v>
      </c>
      <c r="D101" s="52">
        <v>3.7584</v>
      </c>
      <c r="E101" s="52">
        <v>3.6772999999999998</v>
      </c>
    </row>
    <row r="102" spans="1:5" ht="13" x14ac:dyDescent="0.15">
      <c r="A102" s="52" t="s">
        <v>442</v>
      </c>
      <c r="B102" s="52" t="s">
        <v>443</v>
      </c>
      <c r="C102" s="52" t="s">
        <v>176</v>
      </c>
      <c r="D102" s="52">
        <v>11.164300000000001</v>
      </c>
      <c r="E102" s="52">
        <v>10.919700000000001</v>
      </c>
    </row>
    <row r="103" spans="1:5" ht="13" x14ac:dyDescent="0.15">
      <c r="A103" s="52" t="s">
        <v>444</v>
      </c>
      <c r="B103" s="52" t="s">
        <v>445</v>
      </c>
      <c r="C103" s="52" t="s">
        <v>168</v>
      </c>
      <c r="D103" s="52">
        <v>1.4318</v>
      </c>
      <c r="E103" s="52">
        <v>1.4011</v>
      </c>
    </row>
    <row r="104" spans="1:5" ht="13" x14ac:dyDescent="0.15">
      <c r="A104" s="52" t="s">
        <v>446</v>
      </c>
      <c r="B104" s="52" t="s">
        <v>447</v>
      </c>
      <c r="C104" s="52" t="s">
        <v>85</v>
      </c>
      <c r="D104" s="52">
        <v>1.0223</v>
      </c>
      <c r="E104" s="52">
        <v>1</v>
      </c>
    </row>
    <row r="105" spans="1:5" ht="13" x14ac:dyDescent="0.15">
      <c r="A105" s="52" t="s">
        <v>448</v>
      </c>
      <c r="B105" s="52" t="s">
        <v>449</v>
      </c>
      <c r="C105" s="52" t="s">
        <v>85</v>
      </c>
      <c r="D105" s="52">
        <v>1.0223</v>
      </c>
      <c r="E105" s="52">
        <v>1</v>
      </c>
    </row>
    <row r="106" spans="1:5" ht="13" x14ac:dyDescent="0.15">
      <c r="A106" s="52" t="s">
        <v>450</v>
      </c>
      <c r="B106" s="52" t="s">
        <v>451</v>
      </c>
      <c r="C106" s="52" t="s">
        <v>452</v>
      </c>
      <c r="D106" s="53">
        <v>16095.3333</v>
      </c>
      <c r="E106" s="53">
        <v>15672.479300000001</v>
      </c>
    </row>
    <row r="107" spans="1:5" ht="13" x14ac:dyDescent="0.15">
      <c r="A107" s="52" t="s">
        <v>453</v>
      </c>
      <c r="B107" s="52" t="s">
        <v>454</v>
      </c>
      <c r="C107" s="52" t="s">
        <v>86</v>
      </c>
      <c r="D107" s="52">
        <v>1</v>
      </c>
      <c r="E107" s="52">
        <v>0.97819999999999996</v>
      </c>
    </row>
    <row r="108" spans="1:5" ht="13" x14ac:dyDescent="0.15">
      <c r="A108" s="52" t="s">
        <v>455</v>
      </c>
      <c r="B108" s="52" t="s">
        <v>456</v>
      </c>
      <c r="C108" s="52" t="s">
        <v>180</v>
      </c>
      <c r="D108" s="52">
        <v>37.762300000000003</v>
      </c>
      <c r="E108" s="52">
        <v>36.938400000000001</v>
      </c>
    </row>
    <row r="109" spans="1:5" ht="13" x14ac:dyDescent="0.15">
      <c r="A109" s="52" t="s">
        <v>457</v>
      </c>
      <c r="B109" s="52" t="s">
        <v>458</v>
      </c>
      <c r="C109" s="52" t="s">
        <v>459</v>
      </c>
      <c r="D109" s="52">
        <v>10.028700000000001</v>
      </c>
      <c r="E109" s="52">
        <v>9.7989999999999995</v>
      </c>
    </row>
    <row r="110" spans="1:5" ht="13" x14ac:dyDescent="0.15">
      <c r="A110" s="52" t="s">
        <v>460</v>
      </c>
      <c r="B110" s="52" t="s">
        <v>461</v>
      </c>
      <c r="C110" s="52" t="s">
        <v>462</v>
      </c>
      <c r="D110" s="52">
        <v>3.504</v>
      </c>
      <c r="E110" s="52">
        <v>3.4278</v>
      </c>
    </row>
    <row r="111" spans="1:5" ht="13" x14ac:dyDescent="0.15">
      <c r="A111" s="52" t="s">
        <v>463</v>
      </c>
      <c r="B111" s="52" t="s">
        <v>464</v>
      </c>
      <c r="C111" s="52" t="s">
        <v>465</v>
      </c>
      <c r="D111" s="52">
        <v>3.2648999999999999</v>
      </c>
      <c r="E111" s="52">
        <v>3.1943000000000001</v>
      </c>
    </row>
    <row r="112" spans="1:5" ht="13" x14ac:dyDescent="0.15">
      <c r="A112" s="52" t="s">
        <v>466</v>
      </c>
      <c r="B112" s="52" t="s">
        <v>467</v>
      </c>
      <c r="C112" s="52" t="s">
        <v>182</v>
      </c>
      <c r="D112" s="52">
        <v>18.559100000000001</v>
      </c>
      <c r="E112" s="52">
        <v>18.163900000000002</v>
      </c>
    </row>
    <row r="113" spans="1:5" ht="13" x14ac:dyDescent="0.15">
      <c r="A113" s="52" t="s">
        <v>468</v>
      </c>
      <c r="B113" s="52" t="s">
        <v>469</v>
      </c>
      <c r="C113" s="52" t="s">
        <v>470</v>
      </c>
      <c r="D113" s="52">
        <v>31.757999999999999</v>
      </c>
      <c r="E113" s="52">
        <v>31.068899999999999</v>
      </c>
    </row>
    <row r="114" spans="1:5" ht="13" x14ac:dyDescent="0.15">
      <c r="A114" s="52" t="s">
        <v>471</v>
      </c>
      <c r="B114" s="52" t="s">
        <v>472</v>
      </c>
      <c r="C114" s="52" t="s">
        <v>473</v>
      </c>
      <c r="D114" s="53">
        <v>2332.9793</v>
      </c>
      <c r="E114" s="53">
        <v>2281.3519999999999</v>
      </c>
    </row>
    <row r="115" spans="1:5" ht="13" x14ac:dyDescent="0.15">
      <c r="A115" s="52" t="s">
        <v>474</v>
      </c>
      <c r="B115" s="52" t="s">
        <v>475</v>
      </c>
      <c r="C115" s="52" t="s">
        <v>186</v>
      </c>
      <c r="D115" s="52">
        <v>36.963099999999997</v>
      </c>
      <c r="E115" s="52">
        <v>36.118699999999997</v>
      </c>
    </row>
    <row r="116" spans="1:5" ht="13" x14ac:dyDescent="0.15">
      <c r="A116" s="52" t="s">
        <v>476</v>
      </c>
      <c r="B116" s="52" t="s">
        <v>477</v>
      </c>
      <c r="C116" s="52" t="s">
        <v>478</v>
      </c>
      <c r="D116" s="53">
        <v>3836.4238999999998</v>
      </c>
      <c r="E116" s="53">
        <v>3748.74</v>
      </c>
    </row>
    <row r="117" spans="1:5" ht="13" x14ac:dyDescent="0.15">
      <c r="A117" s="52" t="s">
        <v>479</v>
      </c>
      <c r="B117" s="52" t="s">
        <v>480</v>
      </c>
      <c r="C117" s="52" t="s">
        <v>188</v>
      </c>
      <c r="D117" s="52">
        <v>0.89510000000000001</v>
      </c>
      <c r="E117" s="52">
        <v>0.88149999999999995</v>
      </c>
    </row>
    <row r="118" spans="1:5" ht="13" x14ac:dyDescent="0.15">
      <c r="A118" s="52" t="s">
        <v>481</v>
      </c>
      <c r="B118" s="52" t="s">
        <v>482</v>
      </c>
      <c r="C118" s="52" t="s">
        <v>86</v>
      </c>
      <c r="D118" s="52">
        <v>1</v>
      </c>
      <c r="E118" s="52">
        <v>0.97819999999999996</v>
      </c>
    </row>
    <row r="119" spans="1:5" ht="13" x14ac:dyDescent="0.15">
      <c r="A119" s="52" t="s">
        <v>483</v>
      </c>
      <c r="B119" s="52" t="s">
        <v>484</v>
      </c>
      <c r="C119" s="52" t="s">
        <v>485</v>
      </c>
      <c r="D119" s="52">
        <v>41.240200000000002</v>
      </c>
      <c r="E119" s="52">
        <v>40.298099999999998</v>
      </c>
    </row>
    <row r="120" spans="1:5" ht="13" x14ac:dyDescent="0.15">
      <c r="A120" s="52" t="s">
        <v>486</v>
      </c>
      <c r="B120" s="52" t="s">
        <v>487</v>
      </c>
      <c r="C120" s="52" t="s">
        <v>488</v>
      </c>
      <c r="D120" s="53">
        <v>11097.139300000001</v>
      </c>
      <c r="E120" s="53">
        <v>10805.793299999999</v>
      </c>
    </row>
    <row r="121" spans="1:5" ht="13" x14ac:dyDescent="0.15">
      <c r="A121" s="52" t="s">
        <v>489</v>
      </c>
      <c r="B121" s="52" t="s">
        <v>490</v>
      </c>
      <c r="C121" s="52" t="s">
        <v>491</v>
      </c>
      <c r="D121" s="52">
        <v>8.2026000000000003</v>
      </c>
      <c r="E121" s="52">
        <v>8.0146999999999995</v>
      </c>
    </row>
    <row r="122" spans="1:5" ht="13" x14ac:dyDescent="0.15">
      <c r="A122" s="52" t="s">
        <v>492</v>
      </c>
      <c r="B122" s="52" t="s">
        <v>493</v>
      </c>
      <c r="C122" s="52" t="s">
        <v>191</v>
      </c>
      <c r="D122" s="53">
        <v>23922.166700000002</v>
      </c>
      <c r="E122" s="53">
        <v>23402.533299999999</v>
      </c>
    </row>
    <row r="123" spans="1:5" ht="13" x14ac:dyDescent="0.15">
      <c r="A123" s="52" t="s">
        <v>494</v>
      </c>
      <c r="B123" s="52" t="s">
        <v>495</v>
      </c>
      <c r="C123" s="52" t="s">
        <v>171</v>
      </c>
      <c r="D123" s="52">
        <v>18.047499999999999</v>
      </c>
      <c r="E123" s="52">
        <v>17.675799999999999</v>
      </c>
    </row>
    <row r="124" spans="1:5" ht="13" x14ac:dyDescent="0.15">
      <c r="A124" s="52" t="s">
        <v>496</v>
      </c>
      <c r="B124" s="52" t="s">
        <v>497</v>
      </c>
      <c r="C124" s="52" t="s">
        <v>498</v>
      </c>
      <c r="D124" s="52">
        <v>15.835100000000001</v>
      </c>
      <c r="E124" s="52">
        <v>15.473000000000001</v>
      </c>
    </row>
    <row r="125" spans="1:5" ht="13" x14ac:dyDescent="0.15">
      <c r="A125" s="52" t="s">
        <v>499</v>
      </c>
      <c r="B125" s="52" t="s">
        <v>500</v>
      </c>
      <c r="C125" s="52" t="s">
        <v>86</v>
      </c>
      <c r="D125" s="52">
        <v>1</v>
      </c>
      <c r="E125" s="52">
        <v>0.97819999999999996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S121"/>
  <sheetViews>
    <sheetView workbookViewId="0"/>
  </sheetViews>
  <sheetFormatPr baseColWidth="10" defaultColWidth="12.6640625" defaultRowHeight="15.75" customHeight="1" x14ac:dyDescent="0.15"/>
  <sheetData>
    <row r="1" spans="1:19" ht="15.75" customHeight="1" x14ac:dyDescent="0.15">
      <c r="A1" s="50" t="str">
        <f ca="1">IFERROR(__xludf.DUMMYFUNCTION("IMPORTRANGE(""https://docs.google.com/spreadsheets/d/1JwJnxK9zmhiVK6hsDF-y5SHWGHus9M1TckXSlUNoYms/edit?usp=sharing"",""AW2022_09!1:1000"")"),"105 z 120 krajów mają wpisane netto")</f>
        <v>105 z 120 krajów mają wpisane netto</v>
      </c>
      <c r="B1" s="14" t="str">
        <f ca="1">IFERROR(__xludf.DUMMYFUNCTION("""COMPUTED_VALUE"""),"Official Source (URL)")</f>
        <v>Official Source (URL)</v>
      </c>
      <c r="C1" s="14" t="str">
        <f ca="1">IFERROR(__xludf.DUMMYFUNCTION("""COMPUTED_VALUE"""),"Częstotliwość aktualizacji")</f>
        <v>Częstotliwość aktualizacji</v>
      </c>
      <c r="D1" s="14" t="str">
        <f ca="1">IFERROR(__xludf.DUMMYFUNCTION("""COMPUTED_VALUE"""),"Najbliższa aktualizacja")</f>
        <v>Najbliższa aktualizacja</v>
      </c>
      <c r="E1" s="14" t="str">
        <f ca="1">IFERROR(__xludf.DUMMYFUNCTION("""COMPUTED_VALUE"""),"Link do kalendarza publikacji")</f>
        <v>Link do kalendarza publikacji</v>
      </c>
      <c r="F1" s="14" t="str">
        <f ca="1">IFERROR(__xludf.DUMMYFUNCTION("""COMPUTED_VALUE"""),"Rodzaj źródła")</f>
        <v>Rodzaj źródła</v>
      </c>
      <c r="G1" s="14" t="str">
        <f ca="1">IFERROR(__xludf.DUMMYFUNCTION("""COMPUTED_VALUE"""),"Gross to net converter (URL/opis)")</f>
        <v>Gross to net converter (URL/opis)</v>
      </c>
      <c r="H1" s="14" t="str">
        <f ca="1">IFERROR(__xludf.DUMMYFUNCTION("""COMPUTED_VALUE"""),"Statistical period")</f>
        <v>Statistical period</v>
      </c>
      <c r="I1" s="14" t="str">
        <f ca="1">IFERROR(__xludf.DUMMYFUNCTION("""COMPUTED_VALUE"""),"Wage period
(wskazać odnośnie kwoty NETTO, a nie BRUTTO!)")</f>
        <v>Wage period
(wskazać odnośnie kwoty NETTO, a nie BRUTTO!)</v>
      </c>
      <c r="J1" s="14" t="str">
        <f ca="1">IFERROR(__xludf.DUMMYFUNCTION("""COMPUTED_VALUE"""),"Gross")</f>
        <v>Gross</v>
      </c>
      <c r="K1" s="14" t="str">
        <f ca="1">IFERROR(__xludf.DUMMYFUNCTION("""COMPUTED_VALUE"""),"Currency")</f>
        <v>Currency</v>
      </c>
      <c r="L1" s="14" t="str">
        <f ca="1">IFERROR(__xludf.DUMMYFUNCTION("""COMPUTED_VALUE"""),"Net")</f>
        <v>Net</v>
      </c>
      <c r="M1" s="14" t="str">
        <f ca="1">IFERROR(__xludf.DUMMYFUNCTION("""COMPUTED_VALUE"""),"Currency")</f>
        <v>Currency</v>
      </c>
      <c r="N1" s="14"/>
      <c r="O1" s="14" t="str">
        <f ca="1">IFERROR(__xludf.DUMMYFUNCTION("""COMPUTED_VALUE"""),"Za jaki okres były dane rok temu")</f>
        <v>Za jaki okres były dane rok temu</v>
      </c>
      <c r="P1" s="14" t="str">
        <f ca="1">IFERROR(__xludf.DUMMYFUNCTION("""COMPUTED_VALUE"""),"Brutto rok temu")</f>
        <v>Brutto rok temu</v>
      </c>
      <c r="Q1" s="14" t="str">
        <f ca="1">IFERROR(__xludf.DUMMYFUNCTION("""COMPUTED_VALUE"""),"Różnica brutto rdr")</f>
        <v>Różnica brutto rdr</v>
      </c>
      <c r="R1" s="14" t="str">
        <f ca="1">IFERROR(__xludf.DUMMYFUNCTION("""COMPUTED_VALUE"""),"Netto rok temu")</f>
        <v>Netto rok temu</v>
      </c>
      <c r="S1" s="14" t="str">
        <f ca="1">IFERROR(__xludf.DUMMYFUNCTION("""COMPUTED_VALUE"""),"Różnica netto rdr")</f>
        <v>Różnica netto rdr</v>
      </c>
    </row>
    <row r="2" spans="1:19" ht="15.75" customHeight="1" x14ac:dyDescent="0.15">
      <c r="A2" s="14" t="str">
        <f ca="1">IFERROR(__xludf.DUMMYFUNCTION("""COMPUTED_VALUE"""),"AD")</f>
        <v>AD</v>
      </c>
      <c r="B2" s="54" t="str">
        <f ca="1">IFERROR(__xludf.DUMMYFUNCTION("""COMPUTED_VALUE"""),"https://www.estadistica.ad/portal/apps/sites/#/estadistica-en/pages/estadistiques-i-dades-detall?Idioma=en&amp;N2=641&amp;N3=650&amp;DV=409")</f>
        <v>https://www.estadistica.ad/portal/apps/sites/#/estadistica-en/pages/estadistiques-i-dades-detall?Idioma=en&amp;N2=641&amp;N3=650&amp;DV=409</v>
      </c>
      <c r="C2" s="14" t="str">
        <f ca="1">IFERROR(__xludf.DUMMYFUNCTION("""COMPUTED_VALUE"""),"co miesiąc")</f>
        <v>co miesiąc</v>
      </c>
      <c r="D2" s="55">
        <f ca="1">IFERROR(__xludf.DUMMYFUNCTION("""COMPUTED_VALUE"""),44822)</f>
        <v>44822</v>
      </c>
      <c r="E2" s="14"/>
      <c r="F2" s="14" t="str">
        <f ca="1">IFERROR(__xludf.DUMMYFUNCTION("""COMPUTED_VALUE"""),"Urząd Statystyczny")</f>
        <v>Urząd Statystyczny</v>
      </c>
      <c r="G2" s="14"/>
      <c r="H2" s="14" t="str">
        <f ca="1">IFERROR(__xludf.DUMMYFUNCTION("""COMPUTED_VALUE"""),"May 2022")</f>
        <v>May 2022</v>
      </c>
      <c r="I2" s="14" t="str">
        <f ca="1">IFERROR(__xludf.DUMMYFUNCTION("""COMPUTED_VALUE"""),"monthly")</f>
        <v>monthly</v>
      </c>
      <c r="J2" s="14">
        <f ca="1">IFERROR(__xludf.DUMMYFUNCTION("""COMPUTED_VALUE"""),2264.31)</f>
        <v>2264.31</v>
      </c>
      <c r="K2" s="14" t="str">
        <f ca="1">IFERROR(__xludf.DUMMYFUNCTION("""COMPUTED_VALUE"""),"EUR")</f>
        <v>EUR</v>
      </c>
      <c r="L2" s="56">
        <f ca="1">IFERROR(__xludf.DUMMYFUNCTION("""COMPUTED_VALUE"""),2111.2733575)</f>
        <v>2111.2733575000002</v>
      </c>
      <c r="M2" s="14" t="str">
        <f ca="1">IFERROR(__xludf.DUMMYFUNCTION("""COMPUTED_VALUE"""),"EUR")</f>
        <v>EUR</v>
      </c>
      <c r="N2" s="14"/>
      <c r="O2" s="14" t="str">
        <f ca="1">IFERROR(__xludf.DUMMYFUNCTION("""COMPUTED_VALUE"""),"May 2021")</f>
        <v>May 2021</v>
      </c>
      <c r="P2" s="14">
        <f ca="1">IFERROR(__xludf.DUMMYFUNCTION("""COMPUTED_VALUE"""),2122.19)</f>
        <v>2122.19</v>
      </c>
      <c r="Q2" s="14"/>
      <c r="R2" s="56">
        <f ca="1">IFERROR(__xludf.DUMMYFUNCTION("""COMPUTED_VALUE"""),1984.24765)</f>
        <v>1984.24765</v>
      </c>
      <c r="S2" s="57">
        <f ca="1">IFERROR(__xludf.DUMMYFUNCTION("""COMPUTED_VALUE"""),0.0640170633438825)</f>
        <v>6.4017063343882505E-2</v>
      </c>
    </row>
    <row r="3" spans="1:19" ht="15.75" customHeight="1" x14ac:dyDescent="0.15">
      <c r="A3" s="14" t="str">
        <f ca="1">IFERROR(__xludf.DUMMYFUNCTION("""COMPUTED_VALUE"""),"AE")</f>
        <v>AE</v>
      </c>
      <c r="B3" s="54" t="str">
        <f ca="1">IFERROR(__xludf.DUMMYFUNCTION("""COMPUTED_VALUE"""),"https://www.numbeo.com/cost-of-living/country_result.jsp?country=United+Arab+Emirates")</f>
        <v>https://www.numbeo.com/cost-of-living/country_result.jsp?country=United+Arab+Emirates</v>
      </c>
      <c r="C3" s="14"/>
      <c r="D3" s="14"/>
      <c r="E3" s="14"/>
      <c r="F3" s="14" t="str">
        <f ca="1">IFERROR(__xludf.DUMMYFUNCTION("""COMPUTED_VALUE"""),"numbeo")</f>
        <v>numbeo</v>
      </c>
      <c r="G3" s="14"/>
      <c r="H3" s="14" t="str">
        <f ca="1">IFERROR(__xludf.DUMMYFUNCTION("""COMPUTED_VALUE"""),"September 2022")</f>
        <v>September 2022</v>
      </c>
      <c r="I3" s="14" t="str">
        <f ca="1">IFERROR(__xludf.DUMMYFUNCTION("""COMPUTED_VALUE"""),"monthly")</f>
        <v>monthly</v>
      </c>
      <c r="J3" s="14"/>
      <c r="K3" s="14"/>
      <c r="L3" s="14">
        <f ca="1">IFERROR(__xludf.DUMMYFUNCTION("""COMPUTED_VALUE"""),13942.77)</f>
        <v>13942.77</v>
      </c>
      <c r="M3" s="14" t="str">
        <f ca="1">IFERROR(__xludf.DUMMYFUNCTION("""COMPUTED_VALUE"""),"AED")</f>
        <v>AED</v>
      </c>
      <c r="N3" s="14"/>
      <c r="O3" s="14" t="str">
        <f ca="1">IFERROR(__xludf.DUMMYFUNCTION("""COMPUTED_VALUE"""),"September 2021")</f>
        <v>September 2021</v>
      </c>
      <c r="P3" s="14"/>
      <c r="Q3" s="14"/>
      <c r="R3" s="14">
        <f ca="1">IFERROR(__xludf.DUMMYFUNCTION("""COMPUTED_VALUE"""),10020.11)</f>
        <v>10020.11</v>
      </c>
      <c r="S3" s="57">
        <f ca="1">IFERROR(__xludf.DUMMYFUNCTION("""COMPUTED_VALUE"""),0.391478736261378)</f>
        <v>0.39147873626137802</v>
      </c>
    </row>
    <row r="4" spans="1:19" ht="15.75" customHeight="1" x14ac:dyDescent="0.15">
      <c r="A4" s="14" t="str">
        <f ca="1">IFERROR(__xludf.DUMMYFUNCTION("""COMPUTED_VALUE"""),"AL")</f>
        <v>AL</v>
      </c>
      <c r="B4" s="54" t="str">
        <f ca="1">IFERROR(__xludf.DUMMYFUNCTION("""COMPUTED_VALUE"""),"http://www.instat.gov.al/en/themes/labour-market-and-education/wages/")</f>
        <v>http://www.instat.gov.al/en/themes/labour-market-and-education/wages/</v>
      </c>
      <c r="C4" s="14" t="str">
        <f ca="1">IFERROR(__xludf.DUMMYFUNCTION("""COMPUTED_VALUE"""),"co kwartał")</f>
        <v>co kwartał</v>
      </c>
      <c r="D4" s="58">
        <f ca="1">IFERROR(__xludf.DUMMYFUNCTION("""COMPUTED_VALUE"""),44816)</f>
        <v>44816</v>
      </c>
      <c r="E4" s="54" t="str">
        <f ca="1">IFERROR(__xludf.DUMMYFUNCTION("""COMPUTED_VALUE"""),"http://www.instat.gov.al/en/themes/labour-market-and-education/wages/")</f>
        <v>http://www.instat.gov.al/en/themes/labour-market-and-education/wages/</v>
      </c>
      <c r="F4" s="14" t="str">
        <f ca="1">IFERROR(__xludf.DUMMYFUNCTION("""COMPUTED_VALUE"""),"Urząd Statystyczny")</f>
        <v>Urząd Statystyczny</v>
      </c>
      <c r="G4" s="14"/>
      <c r="H4" s="14" t="str">
        <f ca="1">IFERROR(__xludf.DUMMYFUNCTION("""COMPUTED_VALUE"""),"Q1/2022")</f>
        <v>Q1/2022</v>
      </c>
      <c r="I4" s="14" t="str">
        <f ca="1">IFERROR(__xludf.DUMMYFUNCTION("""COMPUTED_VALUE"""),"monthly")</f>
        <v>monthly</v>
      </c>
      <c r="J4" s="14">
        <f ca="1">IFERROR(__xludf.DUMMYFUNCTION("""COMPUTED_VALUE"""),59242)</f>
        <v>59242</v>
      </c>
      <c r="K4" s="14" t="str">
        <f ca="1">IFERROR(__xludf.DUMMYFUNCTION("""COMPUTED_VALUE"""),"ALL")</f>
        <v>ALL</v>
      </c>
      <c r="L4" s="59">
        <f ca="1">IFERROR(__xludf.DUMMYFUNCTION("""COMPUTED_VALUE"""),48805.436)</f>
        <v>48805.436000000002</v>
      </c>
      <c r="M4" s="14" t="str">
        <f ca="1">IFERROR(__xludf.DUMMYFUNCTION("""COMPUTED_VALUE"""),"ALL")</f>
        <v>ALL</v>
      </c>
      <c r="N4" s="14"/>
      <c r="O4" s="14" t="str">
        <f ca="1">IFERROR(__xludf.DUMMYFUNCTION("""COMPUTED_VALUE"""),"Q2/2021")</f>
        <v>Q2/2021</v>
      </c>
      <c r="P4" s="14">
        <f ca="1">IFERROR(__xludf.DUMMYFUNCTION("""COMPUTED_VALUE"""),56710)</f>
        <v>56710</v>
      </c>
      <c r="Q4" s="14"/>
      <c r="R4" s="59">
        <f ca="1">IFERROR(__xludf.DUMMYFUNCTION("""COMPUTED_VALUE"""),46886.18)</f>
        <v>46886.18</v>
      </c>
      <c r="S4" s="57">
        <f ca="1">IFERROR(__xludf.DUMMYFUNCTION("""COMPUTED_VALUE"""),0.04093436488108)</f>
        <v>4.0934364881080001E-2</v>
      </c>
    </row>
    <row r="5" spans="1:19" ht="15.75" customHeight="1" x14ac:dyDescent="0.15">
      <c r="A5" s="14" t="str">
        <f ca="1">IFERROR(__xludf.DUMMYFUNCTION("""COMPUTED_VALUE"""),"AM")</f>
        <v>AM</v>
      </c>
      <c r="B5" s="54" t="str">
        <f ca="1">IFERROR(__xludf.DUMMYFUNCTION("""COMPUTED_VALUE"""),"https://www.armstat.am/ru/?nid=12&amp;id=08001")</f>
        <v>https://www.armstat.am/ru/?nid=12&amp;id=08001</v>
      </c>
      <c r="C5" s="14" t="str">
        <f ca="1">IFERROR(__xludf.DUMMYFUNCTION("""COMPUTED_VALUE"""),"co miesiąc")</f>
        <v>co miesiąc</v>
      </c>
      <c r="D5" s="58">
        <f ca="1">IFERROR(__xludf.DUMMYFUNCTION("""COMPUTED_VALUE"""),44100)</f>
        <v>44100</v>
      </c>
      <c r="E5" s="54" t="str">
        <f ca="1">IFERROR(__xludf.DUMMYFUNCTION("""COMPUTED_VALUE"""),"https://armstat.am/nsdp/arc/")</f>
        <v>https://armstat.am/nsdp/arc/</v>
      </c>
      <c r="F5" s="14" t="str">
        <f ca="1">IFERROR(__xludf.DUMMYFUNCTION("""COMPUTED_VALUE"""),"Urząd Statystyczny")</f>
        <v>Urząd Statystyczny</v>
      </c>
      <c r="G5" s="14" t="str">
        <f ca="1">IFERROR(__xludf.DUMMYFUNCTION("""COMPUTED_VALUE"""),"https://b24.am/salary-income-tax-calculator
https://shemm.am/salary-calculator/?fbclid=IwAR2bXp0-hOczBxx4zqRj9T7z-b9QSINsCADjB1ThG8Peb6GBSBMvlg2hifk")</f>
        <v>https://b24.am/salary-income-tax-calculator
https://shemm.am/salary-calculator/?fbclid=IwAR2bXp0-hOczBxx4zqRj9T7z-b9QSINsCADjB1ThG8Peb6GBSBMvlg2hifk</v>
      </c>
      <c r="H5" s="14" t="str">
        <f ca="1">IFERROR(__xludf.DUMMYFUNCTION("""COMPUTED_VALUE"""),"January-June 2021")</f>
        <v>January-June 2021</v>
      </c>
      <c r="I5" s="14" t="str">
        <f ca="1">IFERROR(__xludf.DUMMYFUNCTION("""COMPUTED_VALUE"""),"monthly")</f>
        <v>monthly</v>
      </c>
      <c r="J5" s="14">
        <f ca="1">IFERROR(__xludf.DUMMYFUNCTION("""COMPUTED_VALUE"""),218641)</f>
        <v>218641</v>
      </c>
      <c r="K5" s="14" t="str">
        <f ca="1">IFERROR(__xludf.DUMMYFUNCTION("""COMPUTED_VALUE"""),"AMD")</f>
        <v>AMD</v>
      </c>
      <c r="L5" s="14">
        <f ca="1">IFERROR(__xludf.DUMMYFUNCTION("""COMPUTED_VALUE"""),157387)</f>
        <v>157387</v>
      </c>
      <c r="M5" s="14" t="str">
        <f ca="1">IFERROR(__xludf.DUMMYFUNCTION("""COMPUTED_VALUE"""),"AMD")</f>
        <v>AMD</v>
      </c>
      <c r="N5" s="14"/>
      <c r="O5" s="14" t="str">
        <f ca="1">IFERROR(__xludf.DUMMYFUNCTION("""COMPUTED_VALUE"""),"Styczeń–grudzień 2021")</f>
        <v>Styczeń–grudzień 2021</v>
      </c>
      <c r="P5" s="14">
        <f ca="1">IFERROR(__xludf.DUMMYFUNCTION("""COMPUTED_VALUE"""),204048)</f>
        <v>204048</v>
      </c>
      <c r="Q5" s="14"/>
      <c r="R5" s="14">
        <f ca="1">IFERROR(__xludf.DUMMYFUNCTION("""COMPUTED_VALUE"""),146516)</f>
        <v>146516</v>
      </c>
      <c r="S5" s="57">
        <f ca="1">IFERROR(__xludf.DUMMYFUNCTION("""COMPUTED_VALUE"""),0.0741966747658959)</f>
        <v>7.4196674765895906E-2</v>
      </c>
    </row>
    <row r="6" spans="1:19" ht="15.75" customHeight="1" x14ac:dyDescent="0.15">
      <c r="A6" s="14" t="str">
        <f ca="1">IFERROR(__xludf.DUMMYFUNCTION("""COMPUTED_VALUE"""),"AR")</f>
        <v>AR</v>
      </c>
      <c r="B6" s="54" t="str">
        <f ca="1">IFERROR(__xludf.DUMMYFUNCTION("""COMPUTED_VALUE"""),"https://www.indec.gob.ar/uploads/informesdeprensa/ingresos_1trim225FA3D2E6CC.pdf")</f>
        <v>https://www.indec.gob.ar/uploads/informesdeprensa/ingresos_1trim225FA3D2E6CC.pdf</v>
      </c>
      <c r="C6" s="14" t="str">
        <f ca="1">IFERROR(__xludf.DUMMYFUNCTION("""COMPUTED_VALUE"""),"co kwartał")</f>
        <v>co kwartał</v>
      </c>
      <c r="D6" s="14" t="str">
        <f ca="1">IFERROR(__xludf.DUMMYFUNCTION("""COMPUTED_VALUE"""),"22.09.2022 - dane za Q2/2022")</f>
        <v>22.09.2022 - dane za Q2/2022</v>
      </c>
      <c r="E6" s="54" t="str">
        <f ca="1">IFERROR(__xludf.DUMMYFUNCTION("""COMPUTED_VALUE"""),"https://www.indec.gob.ar/indec/web/Calendario-Fecha-0")</f>
        <v>https://www.indec.gob.ar/indec/web/Calendario-Fecha-0</v>
      </c>
      <c r="F6" s="14" t="str">
        <f ca="1">IFERROR(__xludf.DUMMYFUNCTION("""COMPUTED_VALUE"""),"Urząd Statystyczny")</f>
        <v>Urząd Statystyczny</v>
      </c>
      <c r="G6" s="54" t="str">
        <f ca="1">IFERROR(__xludf.DUMMYFUNCTION("""COMPUTED_VALUE"""),"https://calcularsueldo.com.ar/sueldoneto.html")</f>
        <v>https://calcularsueldo.com.ar/sueldoneto.html</v>
      </c>
      <c r="H6" s="14" t="str">
        <f ca="1">IFERROR(__xludf.DUMMYFUNCTION("""COMPUTED_VALUE"""),"Q1/2022")</f>
        <v>Q1/2022</v>
      </c>
      <c r="I6" s="14" t="str">
        <f ca="1">IFERROR(__xludf.DUMMYFUNCTION("""COMPUTED_VALUE"""),"monthly")</f>
        <v>monthly</v>
      </c>
      <c r="J6" s="14">
        <f ca="1">IFERROR(__xludf.DUMMYFUNCTION("""COMPUTED_VALUE"""),61843)</f>
        <v>61843</v>
      </c>
      <c r="K6" s="14" t="str">
        <f ca="1">IFERROR(__xludf.DUMMYFUNCTION("""COMPUTED_VALUE"""),"ARS")</f>
        <v>ARS</v>
      </c>
      <c r="L6" s="14">
        <f ca="1">IFERROR(__xludf.DUMMYFUNCTION("""COMPUTED_VALUE"""),51329.69)</f>
        <v>51329.69</v>
      </c>
      <c r="M6" s="14" t="str">
        <f ca="1">IFERROR(__xludf.DUMMYFUNCTION("""COMPUTED_VALUE"""),"ARS")</f>
        <v>ARS</v>
      </c>
      <c r="N6" s="14"/>
      <c r="O6" s="14" t="str">
        <f ca="1">IFERROR(__xludf.DUMMYFUNCTION("""COMPUTED_VALUE"""),"Q2/2021")</f>
        <v>Q2/2021</v>
      </c>
      <c r="P6" s="14">
        <f ca="1">IFERROR(__xludf.DUMMYFUNCTION("""COMPUTED_VALUE"""),44809)</f>
        <v>44809</v>
      </c>
      <c r="Q6" s="14"/>
      <c r="R6" s="14">
        <f ca="1">IFERROR(__xludf.DUMMYFUNCTION("""COMPUTED_VALUE"""),37191.37)</f>
        <v>37191.370000000003</v>
      </c>
      <c r="S6" s="57">
        <f ca="1">IFERROR(__xludf.DUMMYFUNCTION("""COMPUTED_VALUE"""),0.380150556432849)</f>
        <v>0.38015055643284901</v>
      </c>
    </row>
    <row r="7" spans="1:19" ht="15.75" customHeight="1" x14ac:dyDescent="0.15">
      <c r="A7" s="14" t="str">
        <f ca="1">IFERROR(__xludf.DUMMYFUNCTION("""COMPUTED_VALUE"""),"AT")</f>
        <v>AT</v>
      </c>
      <c r="B7" s="54" t="str">
        <f ca="1">IFERROR(__xludf.DUMMYFUNCTION("""COMPUTED_VALUE"""),"https://www.statistik.at/statistiken/bevoelkerung-und-soziales/einkommen-und-soziale-lage/nettomonatseinkommen")</f>
        <v>https://www.statistik.at/statistiken/bevoelkerung-und-soziales/einkommen-und-soziale-lage/nettomonatseinkommen</v>
      </c>
      <c r="C7" s="14" t="str">
        <f ca="1">IFERROR(__xludf.DUMMYFUNCTION("""COMPUTED_VALUE"""),"co roku?")</f>
        <v>co roku?</v>
      </c>
      <c r="D7" s="14" t="str">
        <f ca="1">IFERROR(__xludf.DUMMYFUNCTION("""COMPUTED_VALUE"""),"nie wiadomo")</f>
        <v>nie wiadomo</v>
      </c>
      <c r="E7" s="14" t="str">
        <f ca="1">IFERROR(__xludf.DUMMYFUNCTION("""COMPUTED_VALUE"""),"na głównej")</f>
        <v>na głównej</v>
      </c>
      <c r="F7" s="14" t="str">
        <f ca="1">IFERROR(__xludf.DUMMYFUNCTION("""COMPUTED_VALUE"""),"Urząd Statystyczny")</f>
        <v>Urząd Statystyczny</v>
      </c>
      <c r="G7" s="14" t="str">
        <f ca="1">IFERROR(__xludf.DUMMYFUNCTION("""COMPUTED_VALUE"""),"urząd podaje netto")</f>
        <v>urząd podaje netto</v>
      </c>
      <c r="H7" s="14">
        <f ca="1">IFERROR(__xludf.DUMMYFUNCTION("""COMPUTED_VALUE"""),2020)</f>
        <v>2020</v>
      </c>
      <c r="I7" s="14" t="str">
        <f ca="1">IFERROR(__xludf.DUMMYFUNCTION("""COMPUTED_VALUE"""),"monthly")</f>
        <v>monthly</v>
      </c>
      <c r="J7" s="14"/>
      <c r="K7" s="14"/>
      <c r="L7" s="14">
        <f ca="1">IFERROR(__xludf.DUMMYFUNCTION("""COMPUTED_VALUE"""),2393)</f>
        <v>2393</v>
      </c>
      <c r="M7" s="14" t="str">
        <f ca="1">IFERROR(__xludf.DUMMYFUNCTION("""COMPUTED_VALUE"""),"EUR")</f>
        <v>EUR</v>
      </c>
      <c r="N7" s="14"/>
      <c r="O7" s="14">
        <f ca="1">IFERROR(__xludf.DUMMYFUNCTION("""COMPUTED_VALUE"""),2019)</f>
        <v>2019</v>
      </c>
      <c r="P7" s="14"/>
      <c r="Q7" s="14"/>
      <c r="R7" s="14">
        <f ca="1">IFERROR(__xludf.DUMMYFUNCTION("""COMPUTED_VALUE"""),2301)</f>
        <v>2301</v>
      </c>
      <c r="S7" s="57">
        <f ca="1">IFERROR(__xludf.DUMMYFUNCTION("""COMPUTED_VALUE"""),0.0399826162538026)</f>
        <v>3.9982616253802603E-2</v>
      </c>
    </row>
    <row r="8" spans="1:19" ht="15.75" customHeight="1" x14ac:dyDescent="0.15">
      <c r="A8" s="14" t="str">
        <f ca="1">IFERROR(__xludf.DUMMYFUNCTION("""COMPUTED_VALUE"""),"AU")</f>
        <v>AU</v>
      </c>
      <c r="B8" s="54" t="str">
        <f ca="1">IFERROR(__xludf.DUMMYFUNCTION("""COMPUTED_VALUE"""),"https://www.abs.gov.au/ausstats/abs@.nsf/mf/6302.0")</f>
        <v>https://www.abs.gov.au/ausstats/abs@.nsf/mf/6302.0</v>
      </c>
      <c r="C8" s="14" t="str">
        <f ca="1">IFERROR(__xludf.DUMMYFUNCTION("""COMPUTED_VALUE"""),"co pół roku")</f>
        <v>co pół roku</v>
      </c>
      <c r="D8" s="60">
        <f ca="1">IFERROR(__xludf.DUMMYFUNCTION("""COMPUTED_VALUE"""),44616)</f>
        <v>44616</v>
      </c>
      <c r="E8" s="54" t="str">
        <f ca="1">IFERROR(__xludf.DUMMYFUNCTION("""COMPUTED_VALUE"""),"https://www.abs.gov.au/ausstats/abs@.nsf/mf/6302.0")</f>
        <v>https://www.abs.gov.au/ausstats/abs@.nsf/mf/6302.0</v>
      </c>
      <c r="F8" s="14" t="str">
        <f ca="1">IFERROR(__xludf.DUMMYFUNCTION("""COMPUTED_VALUE"""),"Urząd Statystyczny")</f>
        <v>Urząd Statystyczny</v>
      </c>
      <c r="G8" s="54" t="str">
        <f ca="1">IFERROR(__xludf.DUMMYFUNCTION("""COMPUTED_VALUE"""),"https://paycalculator.com.au/")</f>
        <v>https://paycalculator.com.au/</v>
      </c>
      <c r="H8" s="14" t="str">
        <f ca="1">IFERROR(__xludf.DUMMYFUNCTION("""COMPUTED_VALUE"""),"May 2022")</f>
        <v>May 2022</v>
      </c>
      <c r="I8" s="14" t="str">
        <f ca="1">IFERROR(__xludf.DUMMYFUNCTION("""COMPUTED_VALUE"""),"monthly")</f>
        <v>monthly</v>
      </c>
      <c r="J8" s="14" t="str">
        <f ca="1">IFERROR(__xludf.DUMMYFUNCTION("""COMPUTED_VALUE"""),"1,835.20 / week")</f>
        <v>1,835.20 / week</v>
      </c>
      <c r="K8" s="14" t="str">
        <f ca="1">IFERROR(__xludf.DUMMYFUNCTION("""COMPUTED_VALUE"""),"AUD")</f>
        <v>AUD</v>
      </c>
      <c r="L8" s="14">
        <f ca="1">IFERROR(__xludf.DUMMYFUNCTION("""COMPUTED_VALUE"""),5998.53)</f>
        <v>5998.53</v>
      </c>
      <c r="M8" s="14" t="str">
        <f ca="1">IFERROR(__xludf.DUMMYFUNCTION("""COMPUTED_VALUE"""),"AUD")</f>
        <v>AUD</v>
      </c>
      <c r="N8" s="14"/>
      <c r="O8" s="14" t="str">
        <f ca="1">IFERROR(__xludf.DUMMYFUNCTION("""COMPUTED_VALUE"""),"May 2021")</f>
        <v>May 2021</v>
      </c>
      <c r="P8" s="14" t="str">
        <f ca="1">IFERROR(__xludf.DUMMYFUNCTION("""COMPUTED_VALUE"""),"1737,10 / week")</f>
        <v>1737,10 / week</v>
      </c>
      <c r="Q8" s="14"/>
      <c r="R8" s="14">
        <f ca="1">IFERROR(__xludf.DUMMYFUNCTION("""COMPUTED_VALUE"""),1320)</f>
        <v>1320</v>
      </c>
      <c r="S8" s="57">
        <f ca="1">IFERROR(__xludf.DUMMYFUNCTION("""COMPUTED_VALUE"""),3.5443409090909)</f>
        <v>3.5443409090908999</v>
      </c>
    </row>
    <row r="9" spans="1:19" ht="15.75" customHeight="1" x14ac:dyDescent="0.15">
      <c r="A9" s="14" t="str">
        <f ca="1">IFERROR(__xludf.DUMMYFUNCTION("""COMPUTED_VALUE"""),"AZ")</f>
        <v>AZ</v>
      </c>
      <c r="B9" s="54" t="str">
        <f ca="1">IFERROR(__xludf.DUMMYFUNCTION("""COMPUTED_VALUE"""),"https://www.stat.gov.az/news/macroeconomy.php?page=1&amp;lang=en")</f>
        <v>https://www.stat.gov.az/news/macroeconomy.php?page=1&amp;lang=en</v>
      </c>
      <c r="C9" s="14" t="str">
        <f ca="1">IFERROR(__xludf.DUMMYFUNCTION("""COMPUTED_VALUE"""),"co miesiąc")</f>
        <v>co miesiąc</v>
      </c>
      <c r="D9" s="14" t="str">
        <f ca="1">IFERROR(__xludf.DUMMYFUNCTION("""COMPUTED_VALUE"""),"—")</f>
        <v>—</v>
      </c>
      <c r="E9" s="54" t="str">
        <f ca="1">IFERROR(__xludf.DUMMYFUNCTION("""COMPUTED_VALUE"""),"https://www.stat.gov.az/menu/4/publications/indexen.php#003")</f>
        <v>https://www.stat.gov.az/menu/4/publications/indexen.php#003</v>
      </c>
      <c r="F9" s="14" t="str">
        <f ca="1">IFERROR(__xludf.DUMMYFUNCTION("""COMPUTED_VALUE"""),"Urząd Statystyczny")</f>
        <v>Urząd Statystyczny</v>
      </c>
      <c r="G9" s="54" t="str">
        <f ca="1">IFERROR(__xludf.DUMMYFUNCTION("""COMPUTED_VALUE"""),"https://www.taxes.gov.az/ru/page/muzdlu-isciler-ucun")</f>
        <v>https://www.taxes.gov.az/ru/page/muzdlu-isciler-ucun</v>
      </c>
      <c r="H9" s="14" t="str">
        <f ca="1">IFERROR(__xludf.DUMMYFUNCTION("""COMPUTED_VALUE"""),"January-April 2021")</f>
        <v>January-April 2021</v>
      </c>
      <c r="I9" s="14" t="str">
        <f ca="1">IFERROR(__xludf.DUMMYFUNCTION("""COMPUTED_VALUE"""),"monthly")</f>
        <v>monthly</v>
      </c>
      <c r="J9" s="14">
        <f ca="1">IFERROR(__xludf.DUMMYFUNCTION("""COMPUTED_VALUE"""),824.7)</f>
        <v>824.7</v>
      </c>
      <c r="K9" s="14" t="str">
        <f ca="1">IFERROR(__xludf.DUMMYFUNCTION("""COMPUTED_VALUE"""),"AZN")</f>
        <v>AZN</v>
      </c>
      <c r="L9" s="14">
        <f ca="1">IFERROR(__xludf.DUMMYFUNCTION("""COMPUTED_VALUE"""),735.61)</f>
        <v>735.61</v>
      </c>
      <c r="M9" s="14" t="str">
        <f ca="1">IFERROR(__xludf.DUMMYFUNCTION("""COMPUTED_VALUE"""),"AZN")</f>
        <v>AZN</v>
      </c>
      <c r="N9" s="14"/>
      <c r="O9" s="14" t="str">
        <f ca="1">IFERROR(__xludf.DUMMYFUNCTION("""COMPUTED_VALUE"""),"January-November 2021")</f>
        <v>January-November 2021</v>
      </c>
      <c r="P9" s="14">
        <f ca="1">IFERROR(__xludf.DUMMYFUNCTION("""COMPUTED_VALUE"""),724.1)</f>
        <v>724.1</v>
      </c>
      <c r="Q9" s="14"/>
      <c r="R9" s="14">
        <f ca="1">IFERROR(__xludf.DUMMYFUNCTION("""COMPUTED_VALUE"""),647.59)</f>
        <v>647.59</v>
      </c>
      <c r="S9" s="57">
        <f ca="1">IFERROR(__xludf.DUMMYFUNCTION("""COMPUTED_VALUE"""),0.135919331675905)</f>
        <v>0.135919331675905</v>
      </c>
    </row>
    <row r="10" spans="1:19" ht="15.75" customHeight="1" x14ac:dyDescent="0.15">
      <c r="A10" s="14" t="str">
        <f ca="1">IFERROR(__xludf.DUMMYFUNCTION("""COMPUTED_VALUE"""),"BA")</f>
        <v>BA</v>
      </c>
      <c r="B10" s="54" t="str">
        <f ca="1">IFERROR(__xludf.DUMMYFUNCTION("""COMPUTED_VALUE"""),"http://bhas.gov.ba/")</f>
        <v>http://bhas.gov.ba/</v>
      </c>
      <c r="C10" s="14" t="str">
        <f ca="1">IFERROR(__xludf.DUMMYFUNCTION("""COMPUTED_VALUE"""),"co miesiąc")</f>
        <v>co miesiąc</v>
      </c>
      <c r="D10" s="58">
        <f ca="1">IFERROR(__xludf.DUMMYFUNCTION("""COMPUTED_VALUE"""),44834)</f>
        <v>44834</v>
      </c>
      <c r="E10" s="14"/>
      <c r="F10" s="14" t="str">
        <f ca="1">IFERROR(__xludf.DUMMYFUNCTION("""COMPUTED_VALUE"""),"Urząd Statystyczny")</f>
        <v>Urząd Statystyczny</v>
      </c>
      <c r="G10" s="14" t="str">
        <f ca="1">IFERROR(__xludf.DUMMYFUNCTION("""COMPUTED_VALUE"""),"urząd podaje netto")</f>
        <v>urząd podaje netto</v>
      </c>
      <c r="H10" s="14" t="str">
        <f ca="1">IFERROR(__xludf.DUMMYFUNCTION("""COMPUTED_VALUE"""),"June 2022")</f>
        <v>June 2022</v>
      </c>
      <c r="I10" s="14" t="str">
        <f ca="1">IFERROR(__xludf.DUMMYFUNCTION("""COMPUTED_VALUE"""),"monthly")</f>
        <v>monthly</v>
      </c>
      <c r="J10" s="14"/>
      <c r="K10" s="14"/>
      <c r="L10" s="14">
        <f ca="1">IFERROR(__xludf.DUMMYFUNCTION("""COMPUTED_VALUE"""),1126)</f>
        <v>1126</v>
      </c>
      <c r="M10" s="14" t="str">
        <f ca="1">IFERROR(__xludf.DUMMYFUNCTION("""COMPUTED_VALUE"""),"BAM")</f>
        <v>BAM</v>
      </c>
      <c r="N10" s="14"/>
      <c r="O10" s="14" t="str">
        <f ca="1">IFERROR(__xludf.DUMMYFUNCTION("""COMPUTED_VALUE"""),"July 2021")</f>
        <v>July 2021</v>
      </c>
      <c r="P10" s="14"/>
      <c r="Q10" s="14"/>
      <c r="R10" s="14">
        <f ca="1">IFERROR(__xludf.DUMMYFUNCTION("""COMPUTED_VALUE"""),1002)</f>
        <v>1002</v>
      </c>
      <c r="S10" s="57">
        <f ca="1">IFERROR(__xludf.DUMMYFUNCTION("""COMPUTED_VALUE"""),0.123752495009979)</f>
        <v>0.12375249500997899</v>
      </c>
    </row>
    <row r="11" spans="1:19" ht="15.75" customHeight="1" x14ac:dyDescent="0.15">
      <c r="A11" s="14" t="str">
        <f ca="1">IFERROR(__xludf.DUMMYFUNCTION("""COMPUTED_VALUE"""),"BE")</f>
        <v>BE</v>
      </c>
      <c r="B11" s="54" t="str">
        <f ca="1">IFERROR(__xludf.DUMMYFUNCTION("""COMPUTED_VALUE"""),"https://statbel.fgov.be/fr/themes/emploi-formation/salaires-et-cout-de-la-main-doeuvre/salaires-mensuels-bruts-moyens")</f>
        <v>https://statbel.fgov.be/fr/themes/emploi-formation/salaires-et-cout-de-la-main-doeuvre/salaires-mensuels-bruts-moyens</v>
      </c>
      <c r="C11" s="14" t="str">
        <f ca="1">IFERROR(__xludf.DUMMYFUNCTION("""COMPUTED_VALUE"""),"co roku?")</f>
        <v>co roku?</v>
      </c>
      <c r="D11" s="14" t="str">
        <f ca="1">IFERROR(__xludf.DUMMYFUNCTION("""COMPUTED_VALUE"""),"ostatni release był we wrześniu 2021, kiedy następny – nie wiadomo")</f>
        <v>ostatni release był we wrześniu 2021, kiedy następny – nie wiadomo</v>
      </c>
      <c r="E11" s="14"/>
      <c r="F11" s="14" t="str">
        <f ca="1">IFERROR(__xludf.DUMMYFUNCTION("""COMPUTED_VALUE"""),"Urząd Statystyczny")</f>
        <v>Urząd Statystyczny</v>
      </c>
      <c r="G11" s="61" t="str">
        <f ca="1">IFERROR(__xludf.DUMMYFUNCTION("""COMPUTED_VALUE"""),"https://www.belgiumtaxcalculator.com/")</f>
        <v>https://www.belgiumtaxcalculator.com/</v>
      </c>
      <c r="H11" s="14">
        <f ca="1">IFERROR(__xludf.DUMMYFUNCTION("""COMPUTED_VALUE"""),2019)</f>
        <v>2019</v>
      </c>
      <c r="I11" s="14" t="str">
        <f ca="1">IFERROR(__xludf.DUMMYFUNCTION("""COMPUTED_VALUE"""),"monthly")</f>
        <v>monthly</v>
      </c>
      <c r="J11" s="14">
        <f ca="1">IFERROR(__xludf.DUMMYFUNCTION("""COMPUTED_VALUE"""),3758)</f>
        <v>3758</v>
      </c>
      <c r="K11" s="14" t="str">
        <f ca="1">IFERROR(__xludf.DUMMYFUNCTION("""COMPUTED_VALUE"""),"EUR")</f>
        <v>EUR</v>
      </c>
      <c r="L11" s="14">
        <f ca="1">IFERROR(__xludf.DUMMYFUNCTION("""COMPUTED_VALUE"""),2308.77)</f>
        <v>2308.77</v>
      </c>
      <c r="M11" s="14" t="str">
        <f ca="1">IFERROR(__xludf.DUMMYFUNCTION("""COMPUTED_VALUE"""),"EUR")</f>
        <v>EUR</v>
      </c>
      <c r="N11" s="14"/>
      <c r="O11" s="14">
        <f ca="1">IFERROR(__xludf.DUMMYFUNCTION("""COMPUTED_VALUE"""),2020)</f>
        <v>2020</v>
      </c>
      <c r="P11" s="14">
        <f ca="1">IFERROR(__xludf.DUMMYFUNCTION("""COMPUTED_VALUE"""),3553)</f>
        <v>3553</v>
      </c>
      <c r="Q11" s="14"/>
      <c r="R11" s="14">
        <f ca="1">IFERROR(__xludf.DUMMYFUNCTION("""COMPUTED_VALUE"""),2223.23)</f>
        <v>2223.23</v>
      </c>
      <c r="S11" s="57">
        <f ca="1">IFERROR(__xludf.DUMMYFUNCTION("""COMPUTED_VALUE"""),0.0384755513374683)</f>
        <v>3.84755513374683E-2</v>
      </c>
    </row>
    <row r="12" spans="1:19" ht="15.75" customHeight="1" x14ac:dyDescent="0.15">
      <c r="A12" s="14" t="str">
        <f ca="1">IFERROR(__xludf.DUMMYFUNCTION("""COMPUTED_VALUE"""),"BG")</f>
        <v>BG</v>
      </c>
      <c r="B12" s="54" t="str">
        <f ca="1">IFERROR(__xludf.DUMMYFUNCTION("""COMPUTED_VALUE"""),"https://www.nsi.bg/en/content/3928/total")</f>
        <v>https://www.nsi.bg/en/content/3928/total</v>
      </c>
      <c r="C12" s="14" t="str">
        <f ca="1">IFERROR(__xludf.DUMMYFUNCTION("""COMPUTED_VALUE"""),"co miesiąc i co kwartał")</f>
        <v>co miesiąc i co kwartał</v>
      </c>
      <c r="D12" s="14" t="str">
        <f ca="1">IFERROR(__xludf.DUMMYFUNCTION("""COMPUTED_VALUE"""),"dane za Q3 będą 11.11.2022")</f>
        <v>dane za Q3 będą 11.11.2022</v>
      </c>
      <c r="E12" s="54" t="str">
        <f ca="1">IFERROR(__xludf.DUMMYFUNCTION("""COMPUTED_VALUE"""),"https://www.nsi.bg/en/content/44/basic-page/release-calendar")</f>
        <v>https://www.nsi.bg/en/content/44/basic-page/release-calendar</v>
      </c>
      <c r="F12" s="14" t="str">
        <f ca="1">IFERROR(__xludf.DUMMYFUNCTION("""COMPUTED_VALUE"""),"Urząd Statystyczny")</f>
        <v>Urząd Statystyczny</v>
      </c>
      <c r="G12" s="54" t="str">
        <f ca="1">IFERROR(__xludf.DUMMYFUNCTION("""COMPUTED_VALUE"""),"https://www.calculator.bg/1/zaplata_bruto_neto.html")</f>
        <v>https://www.calculator.bg/1/zaplata_bruto_neto.html</v>
      </c>
      <c r="H12" s="14" t="str">
        <f ca="1">IFERROR(__xludf.DUMMYFUNCTION("""COMPUTED_VALUE"""),"Q2/2022")</f>
        <v>Q2/2022</v>
      </c>
      <c r="I12" s="14" t="str">
        <f ca="1">IFERROR(__xludf.DUMMYFUNCTION("""COMPUTED_VALUE"""),"monthly")</f>
        <v>monthly</v>
      </c>
      <c r="J12" s="14">
        <f ca="1">IFERROR(__xludf.DUMMYFUNCTION("""COMPUTED_VALUE"""),1730)</f>
        <v>1730</v>
      </c>
      <c r="K12" s="14" t="str">
        <f ca="1">IFERROR(__xludf.DUMMYFUNCTION("""COMPUTED_VALUE"""),"BGN")</f>
        <v>BGN</v>
      </c>
      <c r="L12" s="14">
        <f ca="1">IFERROR(__xludf.DUMMYFUNCTION("""COMPUTED_VALUE"""),1342.45)</f>
        <v>1342.45</v>
      </c>
      <c r="M12" s="14" t="str">
        <f ca="1">IFERROR(__xludf.DUMMYFUNCTION("""COMPUTED_VALUE"""),"BGN")</f>
        <v>BGN</v>
      </c>
      <c r="N12" s="14"/>
      <c r="O12" s="14" t="str">
        <f ca="1">IFERROR(__xludf.DUMMYFUNCTION("""COMPUTED_VALUE"""),"Q2/2021")</f>
        <v>Q2/2021</v>
      </c>
      <c r="P12" s="14">
        <f ca="1">IFERROR(__xludf.DUMMYFUNCTION("""COMPUTED_VALUE"""),1525)</f>
        <v>1525</v>
      </c>
      <c r="Q12" s="14"/>
      <c r="R12" s="14">
        <f ca="1">IFERROR(__xludf.DUMMYFUNCTION("""COMPUTED_VALUE"""),1183.36)</f>
        <v>1183.3599999999999</v>
      </c>
      <c r="S12" s="57">
        <f ca="1">IFERROR(__xludf.DUMMYFUNCTION("""COMPUTED_VALUE"""),0.134439223904813)</f>
        <v>0.134439223904813</v>
      </c>
    </row>
    <row r="13" spans="1:19" ht="15.75" customHeight="1" x14ac:dyDescent="0.15">
      <c r="A13" s="14" t="str">
        <f ca="1">IFERROR(__xludf.DUMMYFUNCTION("""COMPUTED_VALUE"""),"BH")</f>
        <v>BH</v>
      </c>
      <c r="B13" s="54" t="str">
        <f ca="1">IFERROR(__xludf.DUMMYFUNCTION("""COMPUTED_VALUE"""),"https://www.numbeo.com/cost-of-living/country_result.jsp?country=Bahrain")</f>
        <v>https://www.numbeo.com/cost-of-living/country_result.jsp?country=Bahrain</v>
      </c>
      <c r="C13" s="14"/>
      <c r="D13" s="14"/>
      <c r="E13" s="14"/>
      <c r="F13" s="14" t="str">
        <f ca="1">IFERROR(__xludf.DUMMYFUNCTION("""COMPUTED_VALUE"""),"numbeo")</f>
        <v>numbeo</v>
      </c>
      <c r="G13" s="14"/>
      <c r="H13" s="14" t="str">
        <f ca="1">IFERROR(__xludf.DUMMYFUNCTION("""COMPUTED_VALUE"""),"September 2022")</f>
        <v>September 2022</v>
      </c>
      <c r="I13" s="14" t="str">
        <f ca="1">IFERROR(__xludf.DUMMYFUNCTION("""COMPUTED_VALUE"""),"monthly")</f>
        <v>monthly</v>
      </c>
      <c r="J13" s="14"/>
      <c r="K13" s="14"/>
      <c r="L13" s="14">
        <f ca="1">IFERROR(__xludf.DUMMYFUNCTION("""COMPUTED_VALUE"""),676.8)</f>
        <v>676.8</v>
      </c>
      <c r="M13" s="14" t="str">
        <f ca="1">IFERROR(__xludf.DUMMYFUNCTION("""COMPUTED_VALUE"""),"BHD")</f>
        <v>BHD</v>
      </c>
      <c r="N13" s="14"/>
      <c r="O13" s="14" t="str">
        <f ca="1">IFERROR(__xludf.DUMMYFUNCTION("""COMPUTED_VALUE"""),"September 2021")</f>
        <v>September 2021</v>
      </c>
      <c r="P13" s="14"/>
      <c r="Q13" s="14"/>
      <c r="R13" s="14">
        <f ca="1">IFERROR(__xludf.DUMMYFUNCTION("""COMPUTED_VALUE"""),589.12)</f>
        <v>589.12</v>
      </c>
      <c r="S13" s="57">
        <f ca="1">IFERROR(__xludf.DUMMYFUNCTION("""COMPUTED_VALUE"""),0.148832156436719)</f>
        <v>0.14883215643671899</v>
      </c>
    </row>
    <row r="14" spans="1:19" ht="15.75" customHeight="1" x14ac:dyDescent="0.15">
      <c r="A14" s="14" t="str">
        <f ca="1">IFERROR(__xludf.DUMMYFUNCTION("""COMPUTED_VALUE"""),"BO")</f>
        <v>BO</v>
      </c>
      <c r="B14" s="54" t="str">
        <f ca="1">IFERROR(__xludf.DUMMYFUNCTION("""COMPUTED_VALUE"""),"https://www.numbeo.com/cost-of-living/country_result.jsp?country=Bolivia")</f>
        <v>https://www.numbeo.com/cost-of-living/country_result.jsp?country=Bolivia</v>
      </c>
      <c r="C14" s="14"/>
      <c r="D14" s="14"/>
      <c r="E14" s="14"/>
      <c r="F14" s="14" t="str">
        <f ca="1">IFERROR(__xludf.DUMMYFUNCTION("""COMPUTED_VALUE"""),"numbeo")</f>
        <v>numbeo</v>
      </c>
      <c r="G14" s="14"/>
      <c r="H14" s="14" t="str">
        <f ca="1">IFERROR(__xludf.DUMMYFUNCTION("""COMPUTED_VALUE"""),"September 2022")</f>
        <v>September 2022</v>
      </c>
      <c r="I14" s="14" t="str">
        <f ca="1">IFERROR(__xludf.DUMMYFUNCTION("""COMPUTED_VALUE"""),"monthly")</f>
        <v>monthly</v>
      </c>
      <c r="J14" s="14"/>
      <c r="K14" s="14"/>
      <c r="L14" s="14">
        <f ca="1">IFERROR(__xludf.DUMMYFUNCTION("""COMPUTED_VALUE"""),3202.38)</f>
        <v>3202.38</v>
      </c>
      <c r="M14" s="14" t="str">
        <f ca="1">IFERROR(__xludf.DUMMYFUNCTION("""COMPUTED_VALUE"""),"BOB")</f>
        <v>BOB</v>
      </c>
      <c r="N14" s="14"/>
      <c r="O14" s="14" t="str">
        <f ca="1">IFERROR(__xludf.DUMMYFUNCTION("""COMPUTED_VALUE"""),"December 2021")</f>
        <v>December 2021</v>
      </c>
      <c r="P14" s="14"/>
      <c r="Q14" s="14"/>
      <c r="R14" s="14">
        <f ca="1">IFERROR(__xludf.DUMMYFUNCTION("""COMPUTED_VALUE"""),3321)</f>
        <v>3321</v>
      </c>
      <c r="S14" s="57">
        <f ca="1">IFERROR(__xludf.DUMMYFUNCTION("""COMPUTED_VALUE"""),-0.0357181571815717)</f>
        <v>-3.5718157181571702E-2</v>
      </c>
    </row>
    <row r="15" spans="1:19" ht="15.75" customHeight="1" x14ac:dyDescent="0.15">
      <c r="A15" s="14" t="str">
        <f ca="1">IFERROR(__xludf.DUMMYFUNCTION("""COMPUTED_VALUE"""),"BR")</f>
        <v>BR</v>
      </c>
      <c r="B15" s="54" t="str">
        <f ca="1">IFERROR(__xludf.DUMMYFUNCTION("""COMPUTED_VALUE"""),"https://www.ibge.gov.br/estatisticas/sociais/educacao/9171-pesquisa-nacional-por-amostra-de-domicilios-continua-mensal.html?=&amp;t=destaques")</f>
        <v>https://www.ibge.gov.br/estatisticas/sociais/educacao/9171-pesquisa-nacional-por-amostra-de-domicilios-continua-mensal.html?=&amp;t=destaques</v>
      </c>
      <c r="C15" s="14" t="str">
        <f ca="1">IFERROR(__xludf.DUMMYFUNCTION("""COMPUTED_VALUE"""),"co miesiąc i co kwartał")</f>
        <v>co miesiąc i co kwartał</v>
      </c>
      <c r="D15" s="54" t="str">
        <f ca="1">IFERROR(__xludf.DUMMYFUNCTION("""COMPUTED_VALUE"""),"https://www.ibge.gov.br/estatisticas/sociais/educacao/9171-pesquisa-nacional-por-amostra-de-domicilios-continua-mensal.html?=&amp;t=destaques")</f>
        <v>https://www.ibge.gov.br/estatisticas/sociais/educacao/9171-pesquisa-nacional-por-amostra-de-domicilios-continua-mensal.html?=&amp;t=destaques</v>
      </c>
      <c r="E15" s="14" t="str">
        <f ca="1">IFERROR(__xludf.DUMMYFUNCTION("""COMPUTED_VALUE"""),"brak")</f>
        <v>brak</v>
      </c>
      <c r="F15" s="14" t="str">
        <f ca="1">IFERROR(__xludf.DUMMYFUNCTION("""COMPUTED_VALUE"""),"Urząd Statystyczny")</f>
        <v>Urząd Statystyczny</v>
      </c>
      <c r="G15" s="54" t="str">
        <f ca="1">IFERROR(__xludf.DUMMYFUNCTION("""COMPUTED_VALUE"""),"http://www.calculador.com.br/calculo/salario-liquido")</f>
        <v>http://www.calculador.com.br/calculo/salario-liquido</v>
      </c>
      <c r="H15" s="14" t="str">
        <f ca="1">IFERROR(__xludf.DUMMYFUNCTION("""COMPUTED_VALUE"""),"May–July 2022")</f>
        <v>May–July 2022</v>
      </c>
      <c r="I15" s="14" t="str">
        <f ca="1">IFERROR(__xludf.DUMMYFUNCTION("""COMPUTED_VALUE"""),"monthly")</f>
        <v>monthly</v>
      </c>
      <c r="J15" s="14">
        <f ca="1">IFERROR(__xludf.DUMMYFUNCTION("""COMPUTED_VALUE"""),2693)</f>
        <v>2693</v>
      </c>
      <c r="K15" s="14" t="str">
        <f ca="1">IFERROR(__xludf.DUMMYFUNCTION("""COMPUTED_VALUE"""),"BRL")</f>
        <v>BRL</v>
      </c>
      <c r="L15" s="14">
        <f ca="1">IFERROR(__xludf.DUMMYFUNCTION("""COMPUTED_VALUE"""),2419.08)</f>
        <v>2419.08</v>
      </c>
      <c r="M15" s="14" t="str">
        <f ca="1">IFERROR(__xludf.DUMMYFUNCTION("""COMPUTED_VALUE"""),"BRL")</f>
        <v>BRL</v>
      </c>
      <c r="N15" s="14"/>
      <c r="O15" s="14" t="str">
        <f ca="1">IFERROR(__xludf.DUMMYFUNCTION("""COMPUTED_VALUE"""),"April–June 2021")</f>
        <v>April–June 2021</v>
      </c>
      <c r="P15" s="14">
        <f ca="1">IFERROR(__xludf.DUMMYFUNCTION("""COMPUTED_VALUE"""),2515)</f>
        <v>2515</v>
      </c>
      <c r="Q15" s="14"/>
      <c r="R15" s="14">
        <f ca="1">IFERROR(__xludf.DUMMYFUNCTION("""COMPUTED_VALUE"""),2266.42)</f>
        <v>2266.42</v>
      </c>
      <c r="S15" s="57">
        <f ca="1">IFERROR(__xludf.DUMMYFUNCTION("""COMPUTED_VALUE"""),0.067357330062389)</f>
        <v>6.7357330062389004E-2</v>
      </c>
    </row>
    <row r="16" spans="1:19" ht="15.75" customHeight="1" x14ac:dyDescent="0.15">
      <c r="A16" s="14" t="str">
        <f ca="1">IFERROR(__xludf.DUMMYFUNCTION("""COMPUTED_VALUE"""),"BW")</f>
        <v>BW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57" t="str">
        <f ca="1">IFERROR(__xludf.DUMMYFUNCTION("""COMPUTED_VALUE"""),"")</f>
        <v/>
      </c>
    </row>
    <row r="17" spans="1:19" ht="15.75" customHeight="1" x14ac:dyDescent="0.15">
      <c r="A17" s="14" t="str">
        <f ca="1">IFERROR(__xludf.DUMMYFUNCTION("""COMPUTED_VALUE"""),"BY")</f>
        <v>BY</v>
      </c>
      <c r="B17" s="54" t="str">
        <f ca="1">IFERROR(__xludf.DUMMYFUNCTION("""COMPUTED_VALUE"""),"https://www.belstat.gov.by/ofitsialnaya-statistika/realny-sector-ekonomiki/stoimost-rabochey-sily/operativnye-dannye/o-nachislennoy-sredney-zarabotnoy-plate-rabotnikov/o-nachislennoy-sredney-zarabotnoy-plate-rabotnikov-respubliki-belarus-v-aprele-2022-g-/")</f>
        <v>https://www.belstat.gov.by/ofitsialnaya-statistika/realny-sector-ekonomiki/stoimost-rabochey-sily/operativnye-dannye/o-nachislennoy-sredney-zarabotnoy-plate-rabotnikov/o-nachislennoy-sredney-zarabotnoy-plate-rabotnikov-respubliki-belarus-v-aprele-2022-g-/</v>
      </c>
      <c r="C17" s="14" t="str">
        <f ca="1">IFERROR(__xludf.DUMMYFUNCTION("""COMPUTED_VALUE"""),"co miesiąc")</f>
        <v>co miesiąc</v>
      </c>
      <c r="D17" s="14" t="str">
        <f ca="1">IFERROR(__xludf.DUMMYFUNCTION("""COMPUTED_VALUE"""),"pod koniec czerwca")</f>
        <v>pod koniec czerwca</v>
      </c>
      <c r="E17" s="54" t="str">
        <f ca="1">IFERROR(__xludf.DUMMYFUNCTION("""COMPUTED_VALUE"""),"http://www.belstat.gov.by/ofitsialnaya-statistika/polzovatelyam/kalendar-polzovatelya/")</f>
        <v>http://www.belstat.gov.by/ofitsialnaya-statistika/polzovatelyam/kalendar-polzovatelya/</v>
      </c>
      <c r="F17" s="14" t="str">
        <f ca="1">IFERROR(__xludf.DUMMYFUNCTION("""COMPUTED_VALUE"""),"Urząd Statystyczny")</f>
        <v>Urząd Statystyczny</v>
      </c>
      <c r="G17" s="54" t="str">
        <f ca="1">IFERROR(__xludf.DUMMYFUNCTION("""COMPUTED_VALUE"""),"https://myfin.by/wiki/term/strahovye-vznosy-v-fszn")</f>
        <v>https://myfin.by/wiki/term/strahovye-vznosy-v-fszn</v>
      </c>
      <c r="H17" s="14" t="str">
        <f ca="1">IFERROR(__xludf.DUMMYFUNCTION("""COMPUTED_VALUE"""),"January–July 2022")</f>
        <v>January–July 2022</v>
      </c>
      <c r="I17" s="14" t="str">
        <f ca="1">IFERROR(__xludf.DUMMYFUNCTION("""COMPUTED_VALUE"""),"monthly")</f>
        <v>monthly</v>
      </c>
      <c r="J17" s="14">
        <f ca="1">IFERROR(__xludf.DUMMYFUNCTION("""COMPUTED_VALUE"""),1582.5)</f>
        <v>1582.5</v>
      </c>
      <c r="K17" s="62" t="str">
        <f ca="1">IFERROR(__xludf.DUMMYFUNCTION("""COMPUTED_VALUE"""),"BYN")</f>
        <v>BYN</v>
      </c>
      <c r="L17" s="56">
        <f ca="1">IFERROR(__xludf.DUMMYFUNCTION("""COMPUTED_VALUE"""),1360.95)</f>
        <v>1360.95</v>
      </c>
      <c r="M17" s="62" t="str">
        <f ca="1">IFERROR(__xludf.DUMMYFUNCTION("""COMPUTED_VALUE"""),"BYN")</f>
        <v>BYN</v>
      </c>
      <c r="N17" s="14"/>
      <c r="O17" s="14" t="str">
        <f ca="1">IFERROR(__xludf.DUMMYFUNCTION("""COMPUTED_VALUE"""),"August 2021")</f>
        <v>August 2021</v>
      </c>
      <c r="P17" s="14">
        <f ca="1">IFERROR(__xludf.DUMMYFUNCTION("""COMPUTED_VALUE"""),1463.2)</f>
        <v>1463.2</v>
      </c>
      <c r="Q17" s="14"/>
      <c r="R17" s="14">
        <f ca="1">IFERROR(__xludf.DUMMYFUNCTION("""COMPUTED_VALUE"""),1258.35)</f>
        <v>1258.3499999999999</v>
      </c>
      <c r="S17" s="57">
        <f ca="1">IFERROR(__xludf.DUMMYFUNCTION("""COMPUTED_VALUE"""),0.0815353439027299)</f>
        <v>8.1535343902729901E-2</v>
      </c>
    </row>
    <row r="18" spans="1:19" ht="15.75" customHeight="1" x14ac:dyDescent="0.15">
      <c r="A18" s="14" t="str">
        <f ca="1">IFERROR(__xludf.DUMMYFUNCTION("""COMPUTED_VALUE"""),"CA")</f>
        <v>CA</v>
      </c>
      <c r="B18" s="54" t="str">
        <f ca="1">IFERROR(__xludf.DUMMYFUNCTION("""COMPUTED_VALUE"""),"https://www150.statcan.gc.ca/t1/tbl1/en/tv.action?pid=1410022201")</f>
        <v>https://www150.statcan.gc.ca/t1/tbl1/en/tv.action?pid=1410022201</v>
      </c>
      <c r="C18" s="14" t="str">
        <f ca="1">IFERROR(__xludf.DUMMYFUNCTION("""COMPUTED_VALUE"""),"co miesiąc")</f>
        <v>co miesiąc</v>
      </c>
      <c r="D18" s="63">
        <f ca="1">IFERROR(__xludf.DUMMYFUNCTION("""COMPUTED_VALUE"""),44707)</f>
        <v>44707</v>
      </c>
      <c r="E18" s="54" t="str">
        <f ca="1">IFERROR(__xludf.DUMMYFUNCTION("""COMPUTED_VALUE"""),"https://www150.statcan.gc.ca/n1/dai-quo/cal1-eng.htm")</f>
        <v>https://www150.statcan.gc.ca/n1/dai-quo/cal1-eng.htm</v>
      </c>
      <c r="F18" s="14" t="str">
        <f ca="1">IFERROR(__xludf.DUMMYFUNCTION("""COMPUTED_VALUE"""),"Urząd Statystyczny")</f>
        <v>Urząd Statystyczny</v>
      </c>
      <c r="G18" s="54" t="str">
        <f ca="1">IFERROR(__xludf.DUMMYFUNCTION("""COMPUTED_VALUE"""),"https://salaryaftertax.com/ca/salary-calculator")</f>
        <v>https://salaryaftertax.com/ca/salary-calculator</v>
      </c>
      <c r="H18" s="14" t="str">
        <f ca="1">IFERROR(__xludf.DUMMYFUNCTION("""COMPUTED_VALUE"""),"June 2022")</f>
        <v>June 2022</v>
      </c>
      <c r="I18" s="14" t="str">
        <f ca="1">IFERROR(__xludf.DUMMYFUNCTION("""COMPUTED_VALUE"""),"monthly")</f>
        <v>monthly</v>
      </c>
      <c r="J18" s="14" t="str">
        <f ca="1">IFERROR(__xludf.DUMMYFUNCTION("""COMPUTED_VALUE"""),"1,159.01 / week")</f>
        <v>1,159.01 / week</v>
      </c>
      <c r="K18" s="14" t="str">
        <f ca="1">IFERROR(__xludf.DUMMYFUNCTION("""COMPUTED_VALUE"""),"CAD")</f>
        <v>CAD</v>
      </c>
      <c r="L18" s="14">
        <f ca="1">IFERROR(__xludf.DUMMYFUNCTION("""COMPUTED_VALUE"""),3838)</f>
        <v>3838</v>
      </c>
      <c r="M18" s="14" t="str">
        <f ca="1">IFERROR(__xludf.DUMMYFUNCTION("""COMPUTED_VALUE"""),"CAD")</f>
        <v>CAD</v>
      </c>
      <c r="N18" s="14"/>
      <c r="O18" s="14" t="str">
        <f ca="1">IFERROR(__xludf.DUMMYFUNCTION("""COMPUTED_VALUE"""),"May 2021")</f>
        <v>May 2021</v>
      </c>
      <c r="P18" s="14" t="str">
        <f ca="1">IFERROR(__xludf.DUMMYFUNCTION("""COMPUTED_VALUE"""),"1138,23 / week")</f>
        <v>1138,23 / week</v>
      </c>
      <c r="Q18" s="14"/>
      <c r="R18" s="14">
        <f ca="1">IFERROR(__xludf.DUMMYFUNCTION("""COMPUTED_VALUE"""),870)</f>
        <v>870</v>
      </c>
      <c r="S18" s="57">
        <f ca="1">IFERROR(__xludf.DUMMYFUNCTION("""COMPUTED_VALUE"""),3.41149425287356)</f>
        <v>3.4114942528735601</v>
      </c>
    </row>
    <row r="19" spans="1:19" ht="15.75" customHeight="1" x14ac:dyDescent="0.15">
      <c r="A19" s="14" t="str">
        <f ca="1">IFERROR(__xludf.DUMMYFUNCTION("""COMPUTED_VALUE"""),"CH")</f>
        <v>CH</v>
      </c>
      <c r="B19" s="54" t="str">
        <f ca="1">IFERROR(__xludf.DUMMYFUNCTION("""COMPUTED_VALUE"""),"https://www.bfs.admin.ch/bfs/en/home/statistics/work-income/wages-income-employment-labour-costs.html")</f>
        <v>https://www.bfs.admin.ch/bfs/en/home/statistics/work-income/wages-income-employment-labour-costs.html</v>
      </c>
      <c r="C19" s="14" t="str">
        <f ca="1">IFERROR(__xludf.DUMMYFUNCTION("""COMPUTED_VALUE"""),"Zrezygnowali z publikacji z powodu Covid")</f>
        <v>Zrezygnowali z publikacji z powodu Covid</v>
      </c>
      <c r="D19" s="14" t="str">
        <f ca="1">IFERROR(__xludf.DUMMYFUNCTION("""COMPUTED_VALUE"""),"Nie wiadomo")</f>
        <v>Nie wiadomo</v>
      </c>
      <c r="E19" s="14"/>
      <c r="F19" s="14" t="str">
        <f ca="1">IFERROR(__xludf.DUMMYFUNCTION("""COMPUTED_VALUE"""),"Urząd Statystyczny")</f>
        <v>Urząd Statystyczny</v>
      </c>
      <c r="G19" s="54" t="str">
        <f ca="1">IFERROR(__xludf.DUMMYFUNCTION("""COMPUTED_VALUE"""),"https://ethz.ch/en/the-eth-zurich/working-teaching-and-research/welcome-center/services-and-downloads/salary-calculator.html")</f>
        <v>https://ethz.ch/en/the-eth-zurich/working-teaching-and-research/welcome-center/services-and-downloads/salary-calculator.html</v>
      </c>
      <c r="H19" s="14">
        <f ca="1">IFERROR(__xludf.DUMMYFUNCTION("""COMPUTED_VALUE"""),2021)</f>
        <v>2021</v>
      </c>
      <c r="I19" s="14" t="str">
        <f ca="1">IFERROR(__xludf.DUMMYFUNCTION("""COMPUTED_VALUE"""),"monthly")</f>
        <v>monthly</v>
      </c>
      <c r="J19" s="56">
        <f ca="1">IFERROR(__xludf.DUMMYFUNCTION("""COMPUTED_VALUE"""),6651.67)</f>
        <v>6651.67</v>
      </c>
      <c r="K19" s="14" t="str">
        <f ca="1">IFERROR(__xludf.DUMMYFUNCTION("""COMPUTED_VALUE"""),"CHF")</f>
        <v>CHF</v>
      </c>
      <c r="L19" s="14">
        <f ca="1">IFERROR(__xludf.DUMMYFUNCTION("""COMPUTED_VALUE"""),5378.85)</f>
        <v>5378.85</v>
      </c>
      <c r="M19" s="14" t="str">
        <f ca="1">IFERROR(__xludf.DUMMYFUNCTION("""COMPUTED_VALUE"""),"CHF")</f>
        <v>CHF</v>
      </c>
      <c r="N19" s="14"/>
      <c r="O19" s="14">
        <f ca="1">IFERROR(__xludf.DUMMYFUNCTION("""COMPUTED_VALUE"""),2020)</f>
        <v>2020</v>
      </c>
      <c r="P19" s="56">
        <f ca="1">IFERROR(__xludf.DUMMYFUNCTION("""COMPUTED_VALUE"""),6649.616736)</f>
        <v>6649.6167359999999</v>
      </c>
      <c r="Q19" s="14"/>
      <c r="R19" s="14">
        <f ca="1">IFERROR(__xludf.DUMMYFUNCTION("""COMPUTED_VALUE"""),5376.45)</f>
        <v>5376.45</v>
      </c>
      <c r="S19" s="57">
        <f ca="1">IFERROR(__xludf.DUMMYFUNCTION("""COMPUTED_VALUE"""),0.000446391206093244)</f>
        <v>4.4639120609324401E-4</v>
      </c>
    </row>
    <row r="20" spans="1:19" ht="15.75" customHeight="1" x14ac:dyDescent="0.15">
      <c r="A20" s="14" t="str">
        <f ca="1">IFERROR(__xludf.DUMMYFUNCTION("""COMPUTED_VALUE"""),"CI")</f>
        <v>CI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57" t="str">
        <f ca="1">IFERROR(__xludf.DUMMYFUNCTION("""COMPUTED_VALUE"""),"")</f>
        <v/>
      </c>
    </row>
    <row r="21" spans="1:19" ht="15.75" customHeight="1" x14ac:dyDescent="0.15">
      <c r="A21" s="14" t="str">
        <f ca="1">IFERROR(__xludf.DUMMYFUNCTION("""COMPUTED_VALUE"""),"CL")</f>
        <v>CL</v>
      </c>
      <c r="B21" s="54" t="str">
        <f ca="1">IFERROR(__xludf.DUMMYFUNCTION("""COMPUTED_VALUE"""),"https://www.ine.cl/prensa/2022/07/21/el-ingreso-laboral-promedio-mensual-en-chile-fue-de-$681.039-en-2021#:~:text=El%20ingreso%20laboral%20promedio%20mensual%20en%20Chile%20fue%20de%20%24681.039%20en%202021")</f>
        <v>https://www.ine.cl/prensa/2022/07/21/el-ingreso-laboral-promedio-mensual-en-chile-fue-de-$681.039-en-2021#:~:text=El%20ingreso%20laboral%20promedio%20mensual%20en%20Chile%20fue%20de%20%24681.039%20en%202021</v>
      </c>
      <c r="C21" s="14"/>
      <c r="D21" s="14" t="str">
        <f ca="1">IFERROR(__xludf.DUMMYFUNCTION("""COMPUTED_VALUE"""),"co roku?")</f>
        <v>co roku?</v>
      </c>
      <c r="E21" s="54" t="str">
        <f ca="1">IFERROR(__xludf.DUMMYFUNCTION("""COMPUTED_VALUE"""),"https://www.ine.cl/estadisticas/sociales/ingresos-y-gastos/encuesta-suplementaria-de-ingresos")</f>
        <v>https://www.ine.cl/estadisticas/sociales/ingresos-y-gastos/encuesta-suplementaria-de-ingresos</v>
      </c>
      <c r="F21" s="14" t="str">
        <f ca="1">IFERROR(__xludf.DUMMYFUNCTION("""COMPUTED_VALUE"""),"Urząd Statystyczny")</f>
        <v>Urząd Statystyczny</v>
      </c>
      <c r="G21" s="14" t="str">
        <f ca="1">IFERROR(__xludf.DUMMYFUNCTION("""COMPUTED_VALUE"""),"Urząd podaje netto")</f>
        <v>Urząd podaje netto</v>
      </c>
      <c r="H21" s="14">
        <f ca="1">IFERROR(__xludf.DUMMYFUNCTION("""COMPUTED_VALUE"""),2021)</f>
        <v>2021</v>
      </c>
      <c r="I21" s="14" t="str">
        <f ca="1">IFERROR(__xludf.DUMMYFUNCTION("""COMPUTED_VALUE"""),"monthly")</f>
        <v>monthly</v>
      </c>
      <c r="J21" s="14"/>
      <c r="K21" s="14"/>
      <c r="L21" s="14">
        <f ca="1">IFERROR(__xludf.DUMMYFUNCTION("""COMPUTED_VALUE"""),681039)</f>
        <v>681039</v>
      </c>
      <c r="M21" s="14" t="str">
        <f ca="1">IFERROR(__xludf.DUMMYFUNCTION("""COMPUTED_VALUE"""),"CLP")</f>
        <v>CLP</v>
      </c>
      <c r="N21" s="14"/>
      <c r="O21" s="14">
        <f ca="1">IFERROR(__xludf.DUMMYFUNCTION("""COMPUTED_VALUE"""),2020)</f>
        <v>2020</v>
      </c>
      <c r="P21" s="14"/>
      <c r="Q21" s="14"/>
      <c r="R21" s="14">
        <f ca="1">IFERROR(__xludf.DUMMYFUNCTION("""COMPUTED_VALUE"""),635134)</f>
        <v>635134</v>
      </c>
      <c r="S21" s="57">
        <f ca="1">IFERROR(__xludf.DUMMYFUNCTION("""COMPUTED_VALUE"""),0.0722760866210909)</f>
        <v>7.2276086621090904E-2</v>
      </c>
    </row>
    <row r="22" spans="1:19" ht="15.75" customHeight="1" x14ac:dyDescent="0.15">
      <c r="A22" s="14" t="str">
        <f ca="1">IFERROR(__xludf.DUMMYFUNCTION("""COMPUTED_VALUE"""),"CM")</f>
        <v>CM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57" t="str">
        <f ca="1">IFERROR(__xludf.DUMMYFUNCTION("""COMPUTED_VALUE"""),"")</f>
        <v/>
      </c>
    </row>
    <row r="23" spans="1:19" ht="15.75" customHeight="1" x14ac:dyDescent="0.15">
      <c r="A23" s="14" t="str">
        <f ca="1">IFERROR(__xludf.DUMMYFUNCTION("""COMPUTED_VALUE"""),"CN")</f>
        <v>CN</v>
      </c>
      <c r="B23" s="54" t="str">
        <f ca="1">IFERROR(__xludf.DUMMYFUNCTION("""COMPUTED_VALUE"""),"https://data.stats.gov.cn/english/easyquery.htm?cn=C01")</f>
        <v>https://data.stats.gov.cn/english/easyquery.htm?cn=C01</v>
      </c>
      <c r="C23" s="14" t="str">
        <f ca="1">IFERROR(__xludf.DUMMYFUNCTION("""COMPUTED_VALUE"""),"co rok, ale dane niepełne. są jedynie w rozbiciu na urban units, state-owned i collective-owned, kwoty wahają się do 30%. ogólnokrajowej śreniej brak.")</f>
        <v>co rok, ale dane niepełne. są jedynie w rozbiciu na urban units, state-owned i collective-owned, kwoty wahają się do 30%. ogólnokrajowej śreniej brak.</v>
      </c>
      <c r="D23" s="14"/>
      <c r="E23" s="14"/>
      <c r="F23" s="14" t="str">
        <f ca="1">IFERROR(__xludf.DUMMYFUNCTION("""COMPUTED_VALUE"""),"numbeo")</f>
        <v>numbeo</v>
      </c>
      <c r="G23" s="14"/>
      <c r="H23" s="14" t="str">
        <f ca="1">IFERROR(__xludf.DUMMYFUNCTION("""COMPUTED_VALUE"""),"September 2022")</f>
        <v>September 2022</v>
      </c>
      <c r="I23" s="14" t="str">
        <f ca="1">IFERROR(__xludf.DUMMYFUNCTION("""COMPUTED_VALUE"""),"monthly")</f>
        <v>monthly</v>
      </c>
      <c r="J23" s="14"/>
      <c r="K23" s="14"/>
      <c r="L23" s="14">
        <f ca="1">IFERROR(__xludf.DUMMYFUNCTION("""COMPUTED_VALUE"""),7626.96)</f>
        <v>7626.96</v>
      </c>
      <c r="M23" s="14" t="str">
        <f ca="1">IFERROR(__xludf.DUMMYFUNCTION("""COMPUTED_VALUE"""),"CNY")</f>
        <v>CNY</v>
      </c>
      <c r="N23" s="14"/>
      <c r="O23" s="14" t="str">
        <f ca="1">IFERROR(__xludf.DUMMYFUNCTION("""COMPUTED_VALUE"""),"September 2021")</f>
        <v>September 2021</v>
      </c>
      <c r="P23" s="14"/>
      <c r="Q23" s="14"/>
      <c r="R23" s="14">
        <f ca="1">IFERROR(__xludf.DUMMYFUNCTION("""COMPUTED_VALUE"""),6873.4)</f>
        <v>6873.4</v>
      </c>
      <c r="S23" s="57">
        <f ca="1">IFERROR(__xludf.DUMMYFUNCTION("""COMPUTED_VALUE"""),0.1096342421509)</f>
        <v>0.10963424215089999</v>
      </c>
    </row>
    <row r="24" spans="1:19" ht="15.75" customHeight="1" x14ac:dyDescent="0.15">
      <c r="A24" s="14" t="str">
        <f ca="1">IFERROR(__xludf.DUMMYFUNCTION("""COMPUTED_VALUE"""),"CO")</f>
        <v>CO</v>
      </c>
      <c r="B24" s="54" t="str">
        <f ca="1">IFERROR(__xludf.DUMMYFUNCTION("""COMPUTED_VALUE"""),"https://www.numbeo.com/cost-of-living/country_result.jsp?country=Colombia")</f>
        <v>https://www.numbeo.com/cost-of-living/country_result.jsp?country=Colombia</v>
      </c>
      <c r="C24" s="14"/>
      <c r="D24" s="14"/>
      <c r="E24" s="14"/>
      <c r="F24" s="14" t="str">
        <f ca="1">IFERROR(__xludf.DUMMYFUNCTION("""COMPUTED_VALUE"""),"numbeo")</f>
        <v>numbeo</v>
      </c>
      <c r="G24" s="14"/>
      <c r="H24" s="14" t="str">
        <f ca="1">IFERROR(__xludf.DUMMYFUNCTION("""COMPUTED_VALUE"""),"September 2022")</f>
        <v>September 2022</v>
      </c>
      <c r="I24" s="14" t="str">
        <f ca="1">IFERROR(__xludf.DUMMYFUNCTION("""COMPUTED_VALUE"""),"monthly")</f>
        <v>monthly</v>
      </c>
      <c r="J24" s="14"/>
      <c r="K24" s="14"/>
      <c r="L24" s="14">
        <f ca="1">IFERROR(__xludf.DUMMYFUNCTION("""COMPUTED_VALUE"""),1331475.91)</f>
        <v>1331475.9099999999</v>
      </c>
      <c r="M24" s="14" t="str">
        <f ca="1">IFERROR(__xludf.DUMMYFUNCTION("""COMPUTED_VALUE"""),"COP")</f>
        <v>COP</v>
      </c>
      <c r="N24" s="14"/>
      <c r="O24" s="14" t="str">
        <f ca="1">IFERROR(__xludf.DUMMYFUNCTION("""COMPUTED_VALUE"""),"December 2021")</f>
        <v>December 2021</v>
      </c>
      <c r="P24" s="14"/>
      <c r="Q24" s="14"/>
      <c r="R24" s="14">
        <f ca="1">IFERROR(__xludf.DUMMYFUNCTION("""COMPUTED_VALUE"""),1241432)</f>
        <v>1241432</v>
      </c>
      <c r="S24" s="57">
        <f ca="1">IFERROR(__xludf.DUMMYFUNCTION("""COMPUTED_VALUE"""),0.0725322933515488)</f>
        <v>7.2532293351548802E-2</v>
      </c>
    </row>
    <row r="25" spans="1:19" ht="15.75" customHeight="1" x14ac:dyDescent="0.15">
      <c r="A25" s="14" t="str">
        <f ca="1">IFERROR(__xludf.DUMMYFUNCTION("""COMPUTED_VALUE"""),"CR")</f>
        <v>CR</v>
      </c>
      <c r="B25" s="54" t="str">
        <f ca="1">IFERROR(__xludf.DUMMYFUNCTION("""COMPUTED_VALUE"""),"https://www.numbeo.com/cost-of-living/country_result.jsp?country=Costa+Rica")</f>
        <v>https://www.numbeo.com/cost-of-living/country_result.jsp?country=Costa+Rica</v>
      </c>
      <c r="C25" s="14"/>
      <c r="D25" s="14"/>
      <c r="E25" s="14"/>
      <c r="F25" s="14" t="str">
        <f ca="1">IFERROR(__xludf.DUMMYFUNCTION("""COMPUTED_VALUE"""),"numbeo")</f>
        <v>numbeo</v>
      </c>
      <c r="G25" s="14"/>
      <c r="H25" s="14" t="str">
        <f ca="1">IFERROR(__xludf.DUMMYFUNCTION("""COMPUTED_VALUE"""),"September 2022")</f>
        <v>September 2022</v>
      </c>
      <c r="I25" s="14" t="str">
        <f ca="1">IFERROR(__xludf.DUMMYFUNCTION("""COMPUTED_VALUE"""),"monthly")</f>
        <v>monthly</v>
      </c>
      <c r="J25" s="14"/>
      <c r="K25" s="14"/>
      <c r="L25" s="14">
        <f ca="1">IFERROR(__xludf.DUMMYFUNCTION("""COMPUTED_VALUE"""),483400.18)</f>
        <v>483400.18</v>
      </c>
      <c r="M25" s="14" t="str">
        <f ca="1">IFERROR(__xludf.DUMMYFUNCTION("""COMPUTED_VALUE"""),"CRC")</f>
        <v>CRC</v>
      </c>
      <c r="N25" s="14"/>
      <c r="O25" s="14" t="str">
        <f ca="1">IFERROR(__xludf.DUMMYFUNCTION("""COMPUTED_VALUE"""),"December 2021")</f>
        <v>December 2021</v>
      </c>
      <c r="P25" s="14"/>
      <c r="Q25" s="14"/>
      <c r="R25" s="14">
        <f ca="1">IFERROR(__xludf.DUMMYFUNCTION("""COMPUTED_VALUE"""),474078)</f>
        <v>474078</v>
      </c>
      <c r="S25" s="57">
        <f ca="1">IFERROR(__xludf.DUMMYFUNCTION("""COMPUTED_VALUE"""),0.0196638105965685)</f>
        <v>1.96638105965685E-2</v>
      </c>
    </row>
    <row r="26" spans="1:19" ht="15.75" customHeight="1" x14ac:dyDescent="0.15">
      <c r="A26" s="14" t="str">
        <f ca="1">IFERROR(__xludf.DUMMYFUNCTION("""COMPUTED_VALUE"""),"CU")</f>
        <v>CU</v>
      </c>
      <c r="B26" s="54" t="str">
        <f ca="1">IFERROR(__xludf.DUMMYFUNCTION("""COMPUTED_VALUE"""),"https://www.numbeo.com/cost-of-living/country_result.jsp?country=Cuba")</f>
        <v>https://www.numbeo.com/cost-of-living/country_result.jsp?country=Cuba</v>
      </c>
      <c r="C26" s="14"/>
      <c r="D26" s="14"/>
      <c r="E26" s="14"/>
      <c r="F26" s="14" t="str">
        <f ca="1">IFERROR(__xludf.DUMMYFUNCTION("""COMPUTED_VALUE"""),"numbeo")</f>
        <v>numbeo</v>
      </c>
      <c r="G26" s="14"/>
      <c r="H26" s="14" t="str">
        <f ca="1">IFERROR(__xludf.DUMMYFUNCTION("""COMPUTED_VALUE"""),"September 2022")</f>
        <v>September 2022</v>
      </c>
      <c r="I26" s="14" t="str">
        <f ca="1">IFERROR(__xludf.DUMMYFUNCTION("""COMPUTED_VALUE"""),"monthly")</f>
        <v>monthly</v>
      </c>
      <c r="J26" s="14"/>
      <c r="K26" s="14"/>
      <c r="L26" s="14">
        <f ca="1">IFERROR(__xludf.DUMMYFUNCTION("""COMPUTED_VALUE"""),34.9)</f>
        <v>34.9</v>
      </c>
      <c r="M26" s="14" t="str">
        <f ca="1">IFERROR(__xludf.DUMMYFUNCTION("""COMPUTED_VALUE"""),"USD")</f>
        <v>USD</v>
      </c>
      <c r="N26" s="14"/>
      <c r="O26" s="14" t="str">
        <f ca="1">IFERROR(__xludf.DUMMYFUNCTION("""COMPUTED_VALUE"""),"September 2021")</f>
        <v>September 2021</v>
      </c>
      <c r="P26" s="14"/>
      <c r="Q26" s="14"/>
      <c r="R26" s="14">
        <f ca="1">IFERROR(__xludf.DUMMYFUNCTION("""COMPUTED_VALUE"""),36.1)</f>
        <v>36.1</v>
      </c>
      <c r="S26" s="57">
        <f ca="1">IFERROR(__xludf.DUMMYFUNCTION("""COMPUTED_VALUE"""),-0.033240997229917)</f>
        <v>-3.3240997229917003E-2</v>
      </c>
    </row>
    <row r="27" spans="1:19" ht="15.75" customHeight="1" x14ac:dyDescent="0.15">
      <c r="A27" s="14" t="str">
        <f ca="1">IFERROR(__xludf.DUMMYFUNCTION("""COMPUTED_VALUE"""),"CY")</f>
        <v>CY</v>
      </c>
      <c r="B27" s="54" t="str">
        <f ca="1">IFERROR(__xludf.DUMMYFUNCTION("""COMPUTED_VALUE"""),"https://www.cystat.gov.cy/en/PressRelease?id=65276")</f>
        <v>https://www.cystat.gov.cy/en/PressRelease?id=65276</v>
      </c>
      <c r="C27" s="14" t="str">
        <f ca="1">IFERROR(__xludf.DUMMYFUNCTION("""COMPUTED_VALUE"""),"co kwartał")</f>
        <v>co kwartał</v>
      </c>
      <c r="D27" s="14" t="str">
        <f ca="1">IFERROR(__xludf.DUMMYFUNCTION("""COMPUTED_VALUE"""),"za II kwartał 2022 powinno być pod koniec września 2022")</f>
        <v>za II kwartał 2022 powinno być pod koniec września 2022</v>
      </c>
      <c r="E27" s="54" t="str">
        <f ca="1">IFERROR(__xludf.DUMMYFUNCTION("""COMPUTED_VALUE"""),"https://www.mof.gov.cy/mof/cystat/statistics.nsf/labour_34main_en/labour_34main_en?OpenForm&amp;sub=4&amp;sel=1")</f>
        <v>https://www.mof.gov.cy/mof/cystat/statistics.nsf/labour_34main_en/labour_34main_en?OpenForm&amp;sub=4&amp;sel=1</v>
      </c>
      <c r="F27" s="14" t="str">
        <f ca="1">IFERROR(__xludf.DUMMYFUNCTION("""COMPUTED_VALUE"""),"Urząd Statystyczny")</f>
        <v>Urząd Statystyczny</v>
      </c>
      <c r="G27" s="54" t="str">
        <f ca="1">IFERROR(__xludf.DUMMYFUNCTION("""COMPUTED_VALUE"""),"https://www.qnta.biz/resources/cyprus-tax/tax-calculators/gross-to-net-salary")</f>
        <v>https://www.qnta.biz/resources/cyprus-tax/tax-calculators/gross-to-net-salary</v>
      </c>
      <c r="H27" s="14" t="str">
        <f ca="1">IFERROR(__xludf.DUMMYFUNCTION("""COMPUTED_VALUE"""),"Q1/2022")</f>
        <v>Q1/2022</v>
      </c>
      <c r="I27" s="14" t="str">
        <f ca="1">IFERROR(__xludf.DUMMYFUNCTION("""COMPUTED_VALUE"""),"monthly")</f>
        <v>monthly</v>
      </c>
      <c r="J27" s="64">
        <f ca="1">IFERROR(__xludf.DUMMYFUNCTION("""COMPUTED_VALUE"""),2114)</f>
        <v>2114</v>
      </c>
      <c r="K27" s="14" t="str">
        <f ca="1">IFERROR(__xludf.DUMMYFUNCTION("""COMPUTED_VALUE"""),"EUR")</f>
        <v>EUR</v>
      </c>
      <c r="L27" s="14">
        <f ca="1">IFERROR(__xludf.DUMMYFUNCTION("""COMPUTED_VALUE"""),1831.02)</f>
        <v>1831.02</v>
      </c>
      <c r="M27" s="14" t="str">
        <f ca="1">IFERROR(__xludf.DUMMYFUNCTION("""COMPUTED_VALUE"""),"EUR")</f>
        <v>EUR</v>
      </c>
      <c r="N27" s="14"/>
      <c r="O27" s="14" t="str">
        <f ca="1">IFERROR(__xludf.DUMMYFUNCTION("""COMPUTED_VALUE"""),"Q1/2021")</f>
        <v>Q1/2021</v>
      </c>
      <c r="P27" s="14">
        <f ca="1">IFERROR(__xludf.DUMMYFUNCTION("""COMPUTED_VALUE"""),1880)</f>
        <v>1880</v>
      </c>
      <c r="Q27" s="14"/>
      <c r="R27" s="14">
        <f ca="1">IFERROR(__xludf.DUMMYFUNCTION("""COMPUTED_VALUE"""),1664.31)</f>
        <v>1664.31</v>
      </c>
      <c r="S27" s="57">
        <f ca="1">IFERROR(__xludf.DUMMYFUNCTION("""COMPUTED_VALUE"""),0.100167637038772)</f>
        <v>0.100167637038772</v>
      </c>
    </row>
    <row r="28" spans="1:19" ht="15.75" customHeight="1" x14ac:dyDescent="0.15">
      <c r="A28" s="14" t="str">
        <f ca="1">IFERROR(__xludf.DUMMYFUNCTION("""COMPUTED_VALUE"""),"CZ")</f>
        <v>CZ</v>
      </c>
      <c r="B28" s="54" t="str">
        <f ca="1">IFERROR(__xludf.DUMMYFUNCTION("""COMPUTED_VALUE"""),"https://www.czso.cz/csu/czso/cri/prumerne-mzdy-2-ctvrtleti-2022")</f>
        <v>https://www.czso.cz/csu/czso/cri/prumerne-mzdy-2-ctvrtleti-2022</v>
      </c>
      <c r="C28" s="14" t="str">
        <f ca="1">IFERROR(__xludf.DUMMYFUNCTION("""COMPUTED_VALUE"""),"co kwartał")</f>
        <v>co kwartał</v>
      </c>
      <c r="D28" s="14" t="str">
        <f ca="1">IFERROR(__xludf.DUMMYFUNCTION("""COMPUTED_VALUE"""),"za II kwartał 2022 dane będą 05.09.2022")</f>
        <v>za II kwartał 2022 dane będą 05.09.2022</v>
      </c>
      <c r="E28" s="54" t="str">
        <f ca="1">IFERROR(__xludf.DUMMYFUNCTION("""COMPUTED_VALUE"""),"https://www.czso.cz/csu/czso/prumerne-mzdy")</f>
        <v>https://www.czso.cz/csu/czso/prumerne-mzdy</v>
      </c>
      <c r="F28" s="14" t="str">
        <f ca="1">IFERROR(__xludf.DUMMYFUNCTION("""COMPUTED_VALUE"""),"Urząd Statystyczny")</f>
        <v>Urząd Statystyczny</v>
      </c>
      <c r="G28" s="54" t="str">
        <f ca="1">IFERROR(__xludf.DUMMYFUNCTION("""COMPUTED_VALUE"""),"https://www.vypocet.cz/cista-mzda")</f>
        <v>https://www.vypocet.cz/cista-mzda</v>
      </c>
      <c r="H28" s="14" t="str">
        <f ca="1">IFERROR(__xludf.DUMMYFUNCTION("""COMPUTED_VALUE"""),"Q2/2022")</f>
        <v>Q2/2022</v>
      </c>
      <c r="I28" s="14" t="str">
        <f ca="1">IFERROR(__xludf.DUMMYFUNCTION("""COMPUTED_VALUE"""),"monthly")</f>
        <v>monthly</v>
      </c>
      <c r="J28" s="14">
        <f ca="1">IFERROR(__xludf.DUMMYFUNCTION("""COMPUTED_VALUE"""),40086)</f>
        <v>40086</v>
      </c>
      <c r="K28" s="14" t="str">
        <f ca="1">IFERROR(__xludf.DUMMYFUNCTION("""COMPUTED_VALUE"""),"CZK")</f>
        <v>CZK</v>
      </c>
      <c r="L28" s="14">
        <f ca="1">IFERROR(__xludf.DUMMYFUNCTION("""COMPUTED_VALUE"""),32231)</f>
        <v>32231</v>
      </c>
      <c r="M28" s="14" t="str">
        <f ca="1">IFERROR(__xludf.DUMMYFUNCTION("""COMPUTED_VALUE"""),"CZK")</f>
        <v>CZK</v>
      </c>
      <c r="N28" s="14"/>
      <c r="O28" s="14" t="str">
        <f ca="1">IFERROR(__xludf.DUMMYFUNCTION("""COMPUTED_VALUE"""),"Q1/2021")</f>
        <v>Q1/2021</v>
      </c>
      <c r="P28" s="14">
        <f ca="1">IFERROR(__xludf.DUMMYFUNCTION("""COMPUTED_VALUE"""),35285)</f>
        <v>35285</v>
      </c>
      <c r="Q28" s="14"/>
      <c r="R28" s="14">
        <f ca="1">IFERROR(__xludf.DUMMYFUNCTION("""COMPUTED_VALUE"""),28428)</f>
        <v>28428</v>
      </c>
      <c r="S28" s="57">
        <f ca="1">IFERROR(__xludf.DUMMYFUNCTION("""COMPUTED_VALUE"""),0.13377655832278)</f>
        <v>0.13377655832277999</v>
      </c>
    </row>
    <row r="29" spans="1:19" ht="15.75" customHeight="1" x14ac:dyDescent="0.15">
      <c r="A29" s="14" t="str">
        <f ca="1">IFERROR(__xludf.DUMMYFUNCTION("""COMPUTED_VALUE"""),"DE")</f>
        <v>DE</v>
      </c>
      <c r="B29" s="54" t="str">
        <f ca="1">IFERROR(__xludf.DUMMYFUNCTION("""COMPUTED_VALUE"""),"https://www.destatis.de/DE/Themen/Arbeit/Verdienste/Verdienste-Verdienstunterschiede/verdienste-branchen.html")</f>
        <v>https://www.destatis.de/DE/Themen/Arbeit/Verdienste/Verdienste-Verdienstunterschiede/verdienste-branchen.html</v>
      </c>
      <c r="C29" s="14" t="str">
        <f ca="1">IFERROR(__xludf.DUMMYFUNCTION("""COMPUTED_VALUE"""),"co kwartał")</f>
        <v>co kwartał</v>
      </c>
      <c r="D29" s="14" t="str">
        <f ca="1">IFERROR(__xludf.DUMMYFUNCTION("""COMPUTED_VALUE"""),"Ostatnie dane za Q4/2021 lub za cały 2021, nowych danych brak")</f>
        <v>Ostatnie dane za Q4/2021 lub za cały 2021, nowych danych brak</v>
      </c>
      <c r="E29" s="54" t="str">
        <f ca="1">IFERROR(__xludf.DUMMYFUNCTION("""COMPUTED_VALUE"""),"https://www.destatis.de/SiteGlobals/Forms/Suche/Termine/EN/Terminsuche_Formular.html?cl2Taxonomies_Themen_0=verdienste")</f>
        <v>https://www.destatis.de/SiteGlobals/Forms/Suche/Termine/EN/Terminsuche_Formular.html?cl2Taxonomies_Themen_0=verdienste</v>
      </c>
      <c r="F29" s="14" t="str">
        <f ca="1">IFERROR(__xludf.DUMMYFUNCTION("""COMPUTED_VALUE"""),"Urząd Statystyczny")</f>
        <v>Urząd Statystyczny</v>
      </c>
      <c r="G29" s="54" t="str">
        <f ca="1">IFERROR(__xludf.DUMMYFUNCTION("""COMPUTED_VALUE"""),"https://www.bbx.de/brutto-netto-rechner/")</f>
        <v>https://www.bbx.de/brutto-netto-rechner/</v>
      </c>
      <c r="H29" s="14" t="str">
        <f ca="1">IFERROR(__xludf.DUMMYFUNCTION("""COMPUTED_VALUE"""),"Q4/2021")</f>
        <v>Q4/2021</v>
      </c>
      <c r="I29" s="14" t="str">
        <f ca="1">IFERROR(__xludf.DUMMYFUNCTION("""COMPUTED_VALUE"""),"monthly")</f>
        <v>monthly</v>
      </c>
      <c r="J29" s="14">
        <f ca="1">IFERROR(__xludf.DUMMYFUNCTION("""COMPUTED_VALUE"""),4168)</f>
        <v>4168</v>
      </c>
      <c r="K29" s="14" t="str">
        <f ca="1">IFERROR(__xludf.DUMMYFUNCTION("""COMPUTED_VALUE"""),"EUR")</f>
        <v>EUR</v>
      </c>
      <c r="L29" s="14">
        <f ca="1">IFERROR(__xludf.DUMMYFUNCTION("""COMPUTED_VALUE"""),2632.94)</f>
        <v>2632.94</v>
      </c>
      <c r="M29" s="14" t="str">
        <f ca="1">IFERROR(__xludf.DUMMYFUNCTION("""COMPUTED_VALUE"""),"EUR")</f>
        <v>EUR</v>
      </c>
      <c r="N29" s="14"/>
      <c r="O29" s="14" t="str">
        <f ca="1">IFERROR(__xludf.DUMMYFUNCTION("""COMPUTED_VALUE"""),"Q1/2021")</f>
        <v>Q1/2021</v>
      </c>
      <c r="P29" s="14">
        <f ca="1">IFERROR(__xludf.DUMMYFUNCTION("""COMPUTED_VALUE"""),4010)</f>
        <v>4010</v>
      </c>
      <c r="Q29" s="14"/>
      <c r="R29" s="14">
        <f ca="1">IFERROR(__xludf.DUMMYFUNCTION("""COMPUTED_VALUE"""),2544.42)</f>
        <v>2544.42</v>
      </c>
      <c r="S29" s="57">
        <f ca="1">IFERROR(__xludf.DUMMYFUNCTION("""COMPUTED_VALUE"""),0.0347898538763253)</f>
        <v>3.47898538763253E-2</v>
      </c>
    </row>
    <row r="30" spans="1:19" ht="15.75" customHeight="1" x14ac:dyDescent="0.15">
      <c r="A30" s="14" t="str">
        <f ca="1">IFERROR(__xludf.DUMMYFUNCTION("""COMPUTED_VALUE"""),"DK")</f>
        <v>DK</v>
      </c>
      <c r="B30" s="54" t="str">
        <f ca="1">IFERROR(__xludf.DUMMYFUNCTION("""COMPUTED_VALUE"""),"https://www.dst.dk/da/Statistik/Publikationer/gennemsnitsdanskeren#")</f>
        <v>https://www.dst.dk/da/Statistik/Publikationer/gennemsnitsdanskeren#</v>
      </c>
      <c r="C30" s="14" t="str">
        <f ca="1">IFERROR(__xludf.DUMMYFUNCTION("""COMPUTED_VALUE"""),"co roku")</f>
        <v>co roku</v>
      </c>
      <c r="D30" s="14" t="str">
        <f ca="1">IFERROR(__xludf.DUMMYFUNCTION("""COMPUTED_VALUE"""),"Next release: 20-10-2022 08:00 for the period 2021")</f>
        <v>Next release: 20-10-2022 08:00 for the period 2021</v>
      </c>
      <c r="E30" s="54" t="str">
        <f ca="1">IFERROR(__xludf.DUMMYFUNCTION("""COMPUTED_VALUE"""),"https://www.statistikbanken.dk/LONS20")</f>
        <v>https://www.statistikbanken.dk/LONS20</v>
      </c>
      <c r="F30" s="14" t="str">
        <f ca="1">IFERROR(__xludf.DUMMYFUNCTION("""COMPUTED_VALUE"""),"Urząd Statystyczny")</f>
        <v>Urząd Statystyczny</v>
      </c>
      <c r="G30" s="54" t="str">
        <f ca="1">IFERROR(__xludf.DUMMYFUNCTION("""COMPUTED_VALUE"""),"http://hvormegetefterskat.dk/")</f>
        <v>http://hvormegetefterskat.dk/</v>
      </c>
      <c r="H30" s="14">
        <f ca="1">IFERROR(__xludf.DUMMYFUNCTION("""COMPUTED_VALUE"""),2021)</f>
        <v>2021</v>
      </c>
      <c r="I30" s="14" t="str">
        <f ca="1">IFERROR(__xludf.DUMMYFUNCTION("""COMPUTED_VALUE"""),"monthly")</f>
        <v>monthly</v>
      </c>
      <c r="J30" s="14">
        <f ca="1">IFERROR(__xludf.DUMMYFUNCTION("""COMPUTED_VALUE"""),44514)</f>
        <v>44514</v>
      </c>
      <c r="K30" s="14" t="str">
        <f ca="1">IFERROR(__xludf.DUMMYFUNCTION("""COMPUTED_VALUE"""),"DKK")</f>
        <v>DKK</v>
      </c>
      <c r="L30" s="14">
        <f ca="1">IFERROR(__xludf.DUMMYFUNCTION("""COMPUTED_VALUE"""),27734)</f>
        <v>27734</v>
      </c>
      <c r="M30" s="14" t="str">
        <f ca="1">IFERROR(__xludf.DUMMYFUNCTION("""COMPUTED_VALUE"""),"DKK")</f>
        <v>DKK</v>
      </c>
      <c r="N30" s="14"/>
      <c r="O30" s="14">
        <f ca="1">IFERROR(__xludf.DUMMYFUNCTION("""COMPUTED_VALUE"""),2020)</f>
        <v>2020</v>
      </c>
      <c r="P30" s="14">
        <f ca="1">IFERROR(__xludf.DUMMYFUNCTION("""COMPUTED_VALUE"""),43487)</f>
        <v>43487</v>
      </c>
      <c r="Q30" s="14"/>
      <c r="R30" s="14">
        <f ca="1">IFERROR(__xludf.DUMMYFUNCTION("""COMPUTED_VALUE"""),27270)</f>
        <v>27270</v>
      </c>
      <c r="S30" s="57">
        <f ca="1">IFERROR(__xludf.DUMMYFUNCTION("""COMPUTED_VALUE"""),0.0170150348368169)</f>
        <v>1.7015034836816899E-2</v>
      </c>
    </row>
    <row r="31" spans="1:19" ht="15.75" customHeight="1" x14ac:dyDescent="0.15">
      <c r="A31" s="14" t="str">
        <f ca="1">IFERROR(__xludf.DUMMYFUNCTION("""COMPUTED_VALUE"""),"DO")</f>
        <v>DO</v>
      </c>
      <c r="B31" s="54" t="str">
        <f ca="1">IFERROR(__xludf.DUMMYFUNCTION("""COMPUTED_VALUE"""),"https://www.numbeo.com/cost-of-living/country_result.jsp?country=Dominican+Republic")</f>
        <v>https://www.numbeo.com/cost-of-living/country_result.jsp?country=Dominican+Republic</v>
      </c>
      <c r="C31" s="14"/>
      <c r="D31" s="14"/>
      <c r="E31" s="14"/>
      <c r="F31" s="14" t="str">
        <f ca="1">IFERROR(__xludf.DUMMYFUNCTION("""COMPUTED_VALUE"""),"numbeo")</f>
        <v>numbeo</v>
      </c>
      <c r="G31" s="14"/>
      <c r="H31" s="14" t="str">
        <f ca="1">IFERROR(__xludf.DUMMYFUNCTION("""COMPUTED_VALUE"""),"September 2022")</f>
        <v>September 2022</v>
      </c>
      <c r="I31" s="14" t="str">
        <f ca="1">IFERROR(__xludf.DUMMYFUNCTION("""COMPUTED_VALUE"""),"monthly")</f>
        <v>monthly</v>
      </c>
      <c r="J31" s="14"/>
      <c r="K31" s="14"/>
      <c r="L31" s="14">
        <f ca="1">IFERROR(__xludf.DUMMYFUNCTION("""COMPUTED_VALUE"""),20228.4)</f>
        <v>20228.400000000001</v>
      </c>
      <c r="M31" s="14" t="str">
        <f ca="1">IFERROR(__xludf.DUMMYFUNCTION("""COMPUTED_VALUE"""),"DOP")</f>
        <v>DOP</v>
      </c>
      <c r="N31" s="14"/>
      <c r="O31" s="14" t="str">
        <f ca="1">IFERROR(__xludf.DUMMYFUNCTION("""COMPUTED_VALUE"""),"December 2021")</f>
        <v>December 2021</v>
      </c>
      <c r="P31" s="14"/>
      <c r="Q31" s="14"/>
      <c r="R31" s="14">
        <f ca="1">IFERROR(__xludf.DUMMYFUNCTION("""COMPUTED_VALUE"""),19240)</f>
        <v>19240</v>
      </c>
      <c r="S31" s="57">
        <f ca="1">IFERROR(__xludf.DUMMYFUNCTION("""COMPUTED_VALUE"""),0.0513721413721415)</f>
        <v>5.1372141372141501E-2</v>
      </c>
    </row>
    <row r="32" spans="1:19" ht="15.75" customHeight="1" x14ac:dyDescent="0.15">
      <c r="A32" s="14" t="str">
        <f ca="1">IFERROR(__xludf.DUMMYFUNCTION("""COMPUTED_VALUE"""),"DZ")</f>
        <v>DZ</v>
      </c>
      <c r="B32" s="54" t="str">
        <f ca="1">IFERROR(__xludf.DUMMYFUNCTION("""COMPUTED_VALUE"""),"https://www.numbeo.com/cost-of-living/country_result.jsp?country=Algeria")</f>
        <v>https://www.numbeo.com/cost-of-living/country_result.jsp?country=Algeria</v>
      </c>
      <c r="C32" s="14"/>
      <c r="D32" s="14"/>
      <c r="E32" s="14"/>
      <c r="F32" s="14" t="str">
        <f ca="1">IFERROR(__xludf.DUMMYFUNCTION("""COMPUTED_VALUE"""),"numbeo")</f>
        <v>numbeo</v>
      </c>
      <c r="G32" s="14"/>
      <c r="H32" s="14" t="str">
        <f ca="1">IFERROR(__xludf.DUMMYFUNCTION("""COMPUTED_VALUE"""),"September 2022")</f>
        <v>September 2022</v>
      </c>
      <c r="I32" s="14" t="str">
        <f ca="1">IFERROR(__xludf.DUMMYFUNCTION("""COMPUTED_VALUE"""),"monthly")</f>
        <v>monthly</v>
      </c>
      <c r="J32" s="14"/>
      <c r="K32" s="14"/>
      <c r="L32" s="14">
        <f ca="1">IFERROR(__xludf.DUMMYFUNCTION("""COMPUTED_VALUE"""),35843.51)</f>
        <v>35843.51</v>
      </c>
      <c r="M32" s="14" t="str">
        <f ca="1">IFERROR(__xludf.DUMMYFUNCTION("""COMPUTED_VALUE"""),"DZD")</f>
        <v>DZD</v>
      </c>
      <c r="N32" s="14"/>
      <c r="O32" s="14" t="str">
        <f ca="1">IFERROR(__xludf.DUMMYFUNCTION("""COMPUTED_VALUE"""),"September 2021")</f>
        <v>September 2021</v>
      </c>
      <c r="P32" s="14"/>
      <c r="Q32" s="14"/>
      <c r="R32" s="14">
        <f ca="1">IFERROR(__xludf.DUMMYFUNCTION("""COMPUTED_VALUE"""),33405.61)</f>
        <v>33405.61</v>
      </c>
      <c r="S32" s="57">
        <f ca="1">IFERROR(__xludf.DUMMYFUNCTION("""COMPUTED_VALUE"""),0.0729787601543574)</f>
        <v>7.2978760154357405E-2</v>
      </c>
    </row>
    <row r="33" spans="1:19" ht="15.75" customHeight="1" x14ac:dyDescent="0.15">
      <c r="A33" s="14" t="str">
        <f ca="1">IFERROR(__xludf.DUMMYFUNCTION("""COMPUTED_VALUE"""),"EC")</f>
        <v>EC</v>
      </c>
      <c r="B33" s="54" t="str">
        <f ca="1">IFERROR(__xludf.DUMMYFUNCTION("""COMPUTED_VALUE"""),"https://www.numbeo.com/cost-of-living/country_result.jsp?country=Ecuador")</f>
        <v>https://www.numbeo.com/cost-of-living/country_result.jsp?country=Ecuador</v>
      </c>
      <c r="C33" s="14"/>
      <c r="D33" s="14"/>
      <c r="E33" s="14"/>
      <c r="F33" s="14" t="str">
        <f ca="1">IFERROR(__xludf.DUMMYFUNCTION("""COMPUTED_VALUE"""),"numbeo")</f>
        <v>numbeo</v>
      </c>
      <c r="G33" s="14"/>
      <c r="H33" s="14" t="str">
        <f ca="1">IFERROR(__xludf.DUMMYFUNCTION("""COMPUTED_VALUE"""),"September 2022")</f>
        <v>September 2022</v>
      </c>
      <c r="I33" s="14" t="str">
        <f ca="1">IFERROR(__xludf.DUMMYFUNCTION("""COMPUTED_VALUE"""),"monthly")</f>
        <v>monthly</v>
      </c>
      <c r="J33" s="14"/>
      <c r="K33" s="14"/>
      <c r="L33" s="14">
        <f ca="1">IFERROR(__xludf.DUMMYFUNCTION("""COMPUTED_VALUE"""),490.64)</f>
        <v>490.64</v>
      </c>
      <c r="M33" s="14" t="str">
        <f ca="1">IFERROR(__xludf.DUMMYFUNCTION("""COMPUTED_VALUE"""),"USD")</f>
        <v>USD</v>
      </c>
      <c r="N33" s="14"/>
      <c r="O33" s="14" t="str">
        <f ca="1">IFERROR(__xludf.DUMMYFUNCTION("""COMPUTED_VALUE"""),"December 2021")</f>
        <v>December 2021</v>
      </c>
      <c r="P33" s="14"/>
      <c r="Q33" s="14"/>
      <c r="R33" s="14">
        <f ca="1">IFERROR(__xludf.DUMMYFUNCTION("""COMPUTED_VALUE"""),465.58)</f>
        <v>465.58</v>
      </c>
      <c r="S33" s="57">
        <f ca="1">IFERROR(__xludf.DUMMYFUNCTION("""COMPUTED_VALUE"""),0.0538253361398686)</f>
        <v>5.3825336139868597E-2</v>
      </c>
    </row>
    <row r="34" spans="1:19" ht="15.75" customHeight="1" x14ac:dyDescent="0.15">
      <c r="A34" s="14" t="str">
        <f ca="1">IFERROR(__xludf.DUMMYFUNCTION("""COMPUTED_VALUE"""),"EE")</f>
        <v>EE</v>
      </c>
      <c r="B34" s="54" t="str">
        <f ca="1">IFERROR(__xludf.DUMMYFUNCTION("""COMPUTED_VALUE"""),"https://www.stat.ee/et/avasta-statistikat/valdkonnad/tooelu/palk-ja-toojoukulu/keskmine-brutokuupalk")</f>
        <v>https://www.stat.ee/et/avasta-statistikat/valdkonnad/tooelu/palk-ja-toojoukulu/keskmine-brutokuupalk</v>
      </c>
      <c r="C34" s="14" t="str">
        <f ca="1">IFERROR(__xludf.DUMMYFUNCTION("""COMPUTED_VALUE"""),"co miesiąc i co kwartał")</f>
        <v>co miesiąc i co kwartał</v>
      </c>
      <c r="D34" s="14"/>
      <c r="E34" s="54" t="str">
        <f ca="1">IFERROR(__xludf.DUMMYFUNCTION("""COMPUTED_VALUE"""),"https://www.stat.ee/stat-keskmine-brutokuupalk")</f>
        <v>https://www.stat.ee/stat-keskmine-brutokuupalk</v>
      </c>
      <c r="F34" s="14" t="str">
        <f ca="1">IFERROR(__xludf.DUMMYFUNCTION("""COMPUTED_VALUE"""),"Urząd Statystyczny")</f>
        <v>Urząd Statystyczny</v>
      </c>
      <c r="G34" s="54" t="str">
        <f ca="1">IFERROR(__xludf.DUMMYFUNCTION("""COMPUTED_VALUE"""),"https://www.kalkulaator.ee/en/salary-calculator")</f>
        <v>https://www.kalkulaator.ee/en/salary-calculator</v>
      </c>
      <c r="H34" s="14" t="str">
        <f ca="1">IFERROR(__xludf.DUMMYFUNCTION("""COMPUTED_VALUE"""),"Q2/2022")</f>
        <v>Q2/2022</v>
      </c>
      <c r="I34" s="14" t="str">
        <f ca="1">IFERROR(__xludf.DUMMYFUNCTION("""COMPUTED_VALUE"""),"monthly")</f>
        <v>monthly</v>
      </c>
      <c r="J34" s="14">
        <f ca="1">IFERROR(__xludf.DUMMYFUNCTION("""COMPUTED_VALUE"""),1693)</f>
        <v>1693</v>
      </c>
      <c r="K34" s="14" t="str">
        <f ca="1">IFERROR(__xludf.DUMMYFUNCTION("""COMPUTED_VALUE"""),"EUR")</f>
        <v>EUR</v>
      </c>
      <c r="L34" s="14">
        <f ca="1">IFERROR(__xludf.DUMMYFUNCTION("""COMPUTED_VALUE"""),1350.86)</f>
        <v>1350.86</v>
      </c>
      <c r="M34" s="14" t="str">
        <f ca="1">IFERROR(__xludf.DUMMYFUNCTION("""COMPUTED_VALUE"""),"EUR")</f>
        <v>EUR</v>
      </c>
      <c r="N34" s="14"/>
      <c r="O34" s="14" t="str">
        <f ca="1">IFERROR(__xludf.DUMMYFUNCTION("""COMPUTED_VALUE"""),"Q2/2021")</f>
        <v>Q2/2021</v>
      </c>
      <c r="P34" s="14">
        <f ca="1">IFERROR(__xludf.DUMMYFUNCTION("""COMPUTED_VALUE"""),1538)</f>
        <v>1538</v>
      </c>
      <c r="Q34" s="14"/>
      <c r="R34" s="14">
        <f ca="1">IFERROR(__xludf.DUMMYFUNCTION("""COMPUTED_VALUE"""),1248.55)</f>
        <v>1248.55</v>
      </c>
      <c r="S34" s="57">
        <f ca="1">IFERROR(__xludf.DUMMYFUNCTION("""COMPUTED_VALUE"""),0.0819430539425734)</f>
        <v>8.1943053942573396E-2</v>
      </c>
    </row>
    <row r="35" spans="1:19" ht="15.75" customHeight="1" x14ac:dyDescent="0.15">
      <c r="A35" s="14" t="str">
        <f ca="1">IFERROR(__xludf.DUMMYFUNCTION("""COMPUTED_VALUE"""),"EG")</f>
        <v>EG</v>
      </c>
      <c r="B35" s="54" t="str">
        <f ca="1">IFERROR(__xludf.DUMMYFUNCTION("""COMPUTED_VALUE"""),"https://www.numbeo.com/cost-of-living/country_result.jsp?country=Egypt")</f>
        <v>https://www.numbeo.com/cost-of-living/country_result.jsp?country=Egypt</v>
      </c>
      <c r="C35" s="14"/>
      <c r="D35" s="14"/>
      <c r="E35" s="14"/>
      <c r="F35" s="14" t="str">
        <f ca="1">IFERROR(__xludf.DUMMYFUNCTION("""COMPUTED_VALUE"""),"numbeo")</f>
        <v>numbeo</v>
      </c>
      <c r="G35" s="14"/>
      <c r="H35" s="14" t="str">
        <f ca="1">IFERROR(__xludf.DUMMYFUNCTION("""COMPUTED_VALUE"""),"September 2022")</f>
        <v>September 2022</v>
      </c>
      <c r="I35" s="14" t="str">
        <f ca="1">IFERROR(__xludf.DUMMYFUNCTION("""COMPUTED_VALUE"""),"monthly")</f>
        <v>monthly</v>
      </c>
      <c r="J35" s="14"/>
      <c r="K35" s="14"/>
      <c r="L35" s="14">
        <f ca="1">IFERROR(__xludf.DUMMYFUNCTION("""COMPUTED_VALUE"""),4196.56)</f>
        <v>4196.5600000000004</v>
      </c>
      <c r="M35" s="14" t="str">
        <f ca="1">IFERROR(__xludf.DUMMYFUNCTION("""COMPUTED_VALUE"""),"EGP")</f>
        <v>EGP</v>
      </c>
      <c r="N35" s="14"/>
      <c r="O35" s="14" t="str">
        <f ca="1">IFERROR(__xludf.DUMMYFUNCTION("""COMPUTED_VALUE"""),"December 2021")</f>
        <v>December 2021</v>
      </c>
      <c r="P35" s="14"/>
      <c r="Q35" s="14"/>
      <c r="R35" s="14">
        <f ca="1">IFERROR(__xludf.DUMMYFUNCTION("""COMPUTED_VALUE"""),3673)</f>
        <v>3673</v>
      </c>
      <c r="S35" s="57">
        <f ca="1">IFERROR(__xludf.DUMMYFUNCTION("""COMPUTED_VALUE"""),0.142542880479172)</f>
        <v>0.14254288047917199</v>
      </c>
    </row>
    <row r="36" spans="1:19" ht="15.75" customHeight="1" x14ac:dyDescent="0.15">
      <c r="A36" s="14" t="str">
        <f ca="1">IFERROR(__xludf.DUMMYFUNCTION("""COMPUTED_VALUE"""),"ES")</f>
        <v>ES</v>
      </c>
      <c r="B36" s="54" t="str">
        <f ca="1">IFERROR(__xludf.DUMMYFUNCTION("""COMPUTED_VALUE"""),"https://www.ine.es/daco/daco42/etcl/etcl0122.pdf")</f>
        <v>https://www.ine.es/daco/daco42/etcl/etcl0122.pdf</v>
      </c>
      <c r="C36" s="14"/>
      <c r="D36" s="14" t="str">
        <f ca="1">IFERROR(__xludf.DUMMYFUNCTION("""COMPUTED_VALUE"""),"16.09.2022 - dane z Q2/2022")</f>
        <v>16.09.2022 - dane z Q2/2022</v>
      </c>
      <c r="E36" s="54" t="str">
        <f ca="1">IFERROR(__xludf.DUMMYFUNCTION("""COMPUTED_VALUE"""),"https://www.ine.es/daco/daco41/calen.htm#!completo")</f>
        <v>https://www.ine.es/daco/daco41/calen.htm#!completo</v>
      </c>
      <c r="F36" s="14" t="str">
        <f ca="1">IFERROR(__xludf.DUMMYFUNCTION("""COMPUTED_VALUE"""),"Urząd Statystyczny")</f>
        <v>Urząd Statystyczny</v>
      </c>
      <c r="G36" s="54" t="str">
        <f ca="1">IFERROR(__xludf.DUMMYFUNCTION("""COMPUTED_VALUE"""),"https://www.expansion.com/ahorro/calculadora-sueldo-neto.html")</f>
        <v>https://www.expansion.com/ahorro/calculadora-sueldo-neto.html</v>
      </c>
      <c r="H36" s="14" t="str">
        <f ca="1">IFERROR(__xludf.DUMMYFUNCTION("""COMPUTED_VALUE"""),"Q1/2022")</f>
        <v>Q1/2022</v>
      </c>
      <c r="I36" s="14" t="str">
        <f ca="1">IFERROR(__xludf.DUMMYFUNCTION("""COMPUTED_VALUE"""),"monthly")</f>
        <v>monthly</v>
      </c>
      <c r="J36" s="14">
        <f ca="1">IFERROR(__xludf.DUMMYFUNCTION("""COMPUTED_VALUE"""),2006.61)</f>
        <v>2006.61</v>
      </c>
      <c r="K36" s="14" t="str">
        <f ca="1">IFERROR(__xludf.DUMMYFUNCTION("""COMPUTED_VALUE"""),"EUR")</f>
        <v>EUR</v>
      </c>
      <c r="L36" s="14">
        <f ca="1">IFERROR(__xludf.DUMMYFUNCTION("""COMPUTED_VALUE"""),1317.34)</f>
        <v>1317.34</v>
      </c>
      <c r="M36" s="14" t="str">
        <f ca="1">IFERROR(__xludf.DUMMYFUNCTION("""COMPUTED_VALUE"""),"EUR")</f>
        <v>EUR</v>
      </c>
      <c r="N36" s="14"/>
      <c r="O36" s="14" t="str">
        <f ca="1">IFERROR(__xludf.DUMMYFUNCTION("""COMPUTED_VALUE"""),"Q1/2021")</f>
        <v>Q1/2021</v>
      </c>
      <c r="P36" s="14">
        <f ca="1">IFERROR(__xludf.DUMMYFUNCTION("""COMPUTED_VALUE"""),1907.82)</f>
        <v>1907.82</v>
      </c>
      <c r="Q36" s="14"/>
      <c r="R36" s="14">
        <f ca="1">IFERROR(__xludf.DUMMYFUNCTION("""COMPUTED_VALUE"""),1500.51)</f>
        <v>1500.51</v>
      </c>
      <c r="S36" s="57">
        <f ca="1">IFERROR(__xludf.DUMMYFUNCTION("""COMPUTED_VALUE"""),-0.122071828911503)</f>
        <v>-0.12207182891150301</v>
      </c>
    </row>
    <row r="37" spans="1:19" ht="15.75" customHeight="1" x14ac:dyDescent="0.15">
      <c r="A37" s="14" t="str">
        <f ca="1">IFERROR(__xludf.DUMMYFUNCTION("""COMPUTED_VALUE"""),"FI")</f>
        <v>FI</v>
      </c>
      <c r="B37" s="54" t="str">
        <f ca="1">IFERROR(__xludf.DUMMYFUNCTION("""COMPUTED_VALUE"""),"https://statfin.stat.fi/PxWeb/pxweb/en/StatFin/StatFin__ati/statfin_ati_pxt_11zu.px/")</f>
        <v>https://statfin.stat.fi/PxWeb/pxweb/en/StatFin/StatFin__ati/statfin_ati_pxt_11zu.px/</v>
      </c>
      <c r="C37" s="14" t="str">
        <f ca="1">IFERROR(__xludf.DUMMYFUNCTION("""COMPUTED_VALUE"""),"co kwartał")</f>
        <v>co kwartał</v>
      </c>
      <c r="D37" s="58">
        <f ca="1">IFERROR(__xludf.DUMMYFUNCTION("""COMPUTED_VALUE"""),44848)</f>
        <v>44848</v>
      </c>
      <c r="E37" s="54" t="str">
        <f ca="1">IFERROR(__xludf.DUMMYFUNCTION("""COMPUTED_VALUE"""),"https://www.stat.fi/ajk/julkistamiskalenteri/index_en.html#?langs=en")</f>
        <v>https://www.stat.fi/ajk/julkistamiskalenteri/index_en.html#?langs=en</v>
      </c>
      <c r="F37" s="14" t="str">
        <f ca="1">IFERROR(__xludf.DUMMYFUNCTION("""COMPUTED_VALUE"""),"Urząd Statystyczny")</f>
        <v>Urząd Statystyczny</v>
      </c>
      <c r="G37" s="54" t="str">
        <f ca="1">IFERROR(__xludf.DUMMYFUNCTION("""COMPUTED_VALUE"""),"https://www.summarum.fi/verolaskuri/")</f>
        <v>https://www.summarum.fi/verolaskuri/</v>
      </c>
      <c r="H37" s="14" t="str">
        <f ca="1">IFERROR(__xludf.DUMMYFUNCTION("""COMPUTED_VALUE"""),"Q2/2022")</f>
        <v>Q2/2022</v>
      </c>
      <c r="I37" s="14" t="str">
        <f ca="1">IFERROR(__xludf.DUMMYFUNCTION("""COMPUTED_VALUE"""),"monthly")</f>
        <v>monthly</v>
      </c>
      <c r="J37" s="14">
        <f ca="1">IFERROR(__xludf.DUMMYFUNCTION("""COMPUTED_VALUE"""),3758)</f>
        <v>3758</v>
      </c>
      <c r="K37" s="14" t="str">
        <f ca="1">IFERROR(__xludf.DUMMYFUNCTION("""COMPUTED_VALUE"""),"EUR")</f>
        <v>EUR</v>
      </c>
      <c r="L37" s="14">
        <f ca="1">IFERROR(__xludf.DUMMYFUNCTION("""COMPUTED_VALUE"""),2549.86)</f>
        <v>2549.86</v>
      </c>
      <c r="M37" s="14" t="str">
        <f ca="1">IFERROR(__xludf.DUMMYFUNCTION("""COMPUTED_VALUE"""),"EUR")</f>
        <v>EUR</v>
      </c>
      <c r="N37" s="14"/>
      <c r="O37" s="14" t="str">
        <f ca="1">IFERROR(__xludf.DUMMYFUNCTION("""COMPUTED_VALUE"""),"Q2/2021")</f>
        <v>Q2/2021</v>
      </c>
      <c r="P37" s="14">
        <f ca="1">IFERROR(__xludf.DUMMYFUNCTION("""COMPUTED_VALUE"""),3674)</f>
        <v>3674</v>
      </c>
      <c r="Q37" s="14"/>
      <c r="R37" s="14">
        <f ca="1">IFERROR(__xludf.DUMMYFUNCTION("""COMPUTED_VALUE"""),2531.39)</f>
        <v>2531.39</v>
      </c>
      <c r="S37" s="57">
        <f ca="1">IFERROR(__xludf.DUMMYFUNCTION("""COMPUTED_VALUE"""),0.00729638657022446)</f>
        <v>7.2963865702244599E-3</v>
      </c>
    </row>
    <row r="38" spans="1:19" ht="15.75" customHeight="1" x14ac:dyDescent="0.15">
      <c r="A38" s="14" t="str">
        <f ca="1">IFERROR(__xludf.DUMMYFUNCTION("""COMPUTED_VALUE"""),"FR")</f>
        <v>FR</v>
      </c>
      <c r="B38" s="54" t="str">
        <f ca="1">IFERROR(__xludf.DUMMYFUNCTION("""COMPUTED_VALUE"""),"https://www.insee.fr/fr/statistiques/6436313")</f>
        <v>https://www.insee.fr/fr/statistiques/6436313</v>
      </c>
      <c r="C38" s="14" t="str">
        <f ca="1">IFERROR(__xludf.DUMMYFUNCTION("""COMPUTED_VALUE"""),"co roku, ale z duuużym opóźnieniem")</f>
        <v>co roku, ale z duuużym opóźnieniem</v>
      </c>
      <c r="D38" s="14" t="str">
        <f ca="1">IFERROR(__xludf.DUMMYFUNCTION("""COMPUTED_VALUE"""),"nie wiadomo, ale ostatni release z kwietnia 2022 dotyczył 2020 roku")</f>
        <v>nie wiadomo, ale ostatni release z kwietnia 2022 dotyczył 2020 roku</v>
      </c>
      <c r="E38" s="14"/>
      <c r="F38" s="14" t="str">
        <f ca="1">IFERROR(__xludf.DUMMYFUNCTION("""COMPUTED_VALUE"""),"Urząd Statystyczny")</f>
        <v>Urząd Statystyczny</v>
      </c>
      <c r="G38" s="14" t="str">
        <f ca="1">IFERROR(__xludf.DUMMYFUNCTION("""COMPUTED_VALUE"""),"urząd podaje netto")</f>
        <v>urząd podaje netto</v>
      </c>
      <c r="H38" s="14">
        <f ca="1">IFERROR(__xludf.DUMMYFUNCTION("""COMPUTED_VALUE"""),2020)</f>
        <v>2020</v>
      </c>
      <c r="I38" s="14" t="str">
        <f ca="1">IFERROR(__xludf.DUMMYFUNCTION("""COMPUTED_VALUE"""),"monthly")</f>
        <v>monthly</v>
      </c>
      <c r="J38" s="14"/>
      <c r="K38" s="14"/>
      <c r="L38" s="14">
        <f ca="1">IFERROR(__xludf.DUMMYFUNCTION("""COMPUTED_VALUE"""),2518)</f>
        <v>2518</v>
      </c>
      <c r="M38" s="14" t="str">
        <f ca="1">IFERROR(__xludf.DUMMYFUNCTION("""COMPUTED_VALUE"""),"EUR")</f>
        <v>EUR</v>
      </c>
      <c r="N38" s="14"/>
      <c r="O38" s="14">
        <f ca="1">IFERROR(__xludf.DUMMYFUNCTION("""COMPUTED_VALUE"""),2018)</f>
        <v>2018</v>
      </c>
      <c r="P38" s="14"/>
      <c r="Q38" s="14"/>
      <c r="R38" s="14">
        <f ca="1">IFERROR(__xludf.DUMMYFUNCTION("""COMPUTED_VALUE"""),2369)</f>
        <v>2369</v>
      </c>
      <c r="S38" s="57">
        <f ca="1">IFERROR(__xludf.DUMMYFUNCTION("""COMPUTED_VALUE"""),0.0628957365977205)</f>
        <v>6.2895736597720506E-2</v>
      </c>
    </row>
    <row r="39" spans="1:19" ht="13" x14ac:dyDescent="0.15">
      <c r="A39" s="14" t="str">
        <f ca="1">IFERROR(__xludf.DUMMYFUNCTION("""COMPUTED_VALUE"""),"GE")</f>
        <v>GE</v>
      </c>
      <c r="B39" s="54" t="str">
        <f ca="1">IFERROR(__xludf.DUMMYFUNCTION("""COMPUTED_VALUE"""),"https://www.geostat.ge/en/modules/categories/39/wages")</f>
        <v>https://www.geostat.ge/en/modules/categories/39/wages</v>
      </c>
      <c r="C39" s="14"/>
      <c r="D39" s="14"/>
      <c r="E39" s="54" t="str">
        <f ca="1">IFERROR(__xludf.DUMMYFUNCTION("""COMPUTED_VALUE"""),"https://www.geostat.ge/index.php/ka/calendar")</f>
        <v>https://www.geostat.ge/index.php/ka/calendar</v>
      </c>
      <c r="F39" s="14" t="str">
        <f ca="1">IFERROR(__xludf.DUMMYFUNCTION("""COMPUTED_VALUE"""),"Urząd Statystyczny")</f>
        <v>Urząd Statystyczny</v>
      </c>
      <c r="G39" s="54" t="str">
        <f ca="1">IFERROR(__xludf.DUMMYFUNCTION("""COMPUTED_VALUE"""),"https://kernel.tools/calculators/salary-calculator?lang=ka")</f>
        <v>https://kernel.tools/calculators/salary-calculator?lang=ka</v>
      </c>
      <c r="H39" s="14" t="str">
        <f ca="1">IFERROR(__xludf.DUMMYFUNCTION("""COMPUTED_VALUE"""),"Q1/2022")</f>
        <v>Q1/2022</v>
      </c>
      <c r="I39" s="14" t="str">
        <f ca="1">IFERROR(__xludf.DUMMYFUNCTION("""COMPUTED_VALUE"""),"monthly")</f>
        <v>monthly</v>
      </c>
      <c r="J39" s="14">
        <f ca="1">IFERROR(__xludf.DUMMYFUNCTION("""COMPUTED_VALUE"""),1446.5)</f>
        <v>1446.5</v>
      </c>
      <c r="K39" s="14" t="str">
        <f ca="1">IFERROR(__xludf.DUMMYFUNCTION("""COMPUTED_VALUE"""),"GEL")</f>
        <v>GEL</v>
      </c>
      <c r="L39" s="56">
        <f ca="1">IFERROR(__xludf.DUMMYFUNCTION("""COMPUTED_VALUE"""),1134.06)</f>
        <v>1134.06</v>
      </c>
      <c r="M39" s="14" t="str">
        <f ca="1">IFERROR(__xludf.DUMMYFUNCTION("""COMPUTED_VALUE"""),"GEL")</f>
        <v>GEL</v>
      </c>
      <c r="N39" s="14"/>
      <c r="O39" s="14" t="str">
        <f ca="1">IFERROR(__xludf.DUMMYFUNCTION("""COMPUTED_VALUE"""),"Q3/2021")</f>
        <v>Q3/2021</v>
      </c>
      <c r="P39" s="14">
        <f ca="1">IFERROR(__xludf.DUMMYFUNCTION("""COMPUTED_VALUE"""),1368.5)</f>
        <v>1368.5</v>
      </c>
      <c r="Q39" s="14"/>
      <c r="R39" s="56">
        <f ca="1">IFERROR(__xludf.DUMMYFUNCTION("""COMPUTED_VALUE"""),1071.73)</f>
        <v>1071.73</v>
      </c>
      <c r="S39" s="57">
        <f ca="1">IFERROR(__xludf.DUMMYFUNCTION("""COMPUTED_VALUE"""),0.0581583047969169)</f>
        <v>5.8158304796916901E-2</v>
      </c>
    </row>
    <row r="40" spans="1:19" ht="13" x14ac:dyDescent="0.15">
      <c r="A40" s="14" t="str">
        <f ca="1">IFERROR(__xludf.DUMMYFUNCTION("""COMPUTED_VALUE"""),"GH")</f>
        <v>GH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57" t="str">
        <f ca="1">IFERROR(__xludf.DUMMYFUNCTION("""COMPUTED_VALUE"""),"")</f>
        <v/>
      </c>
    </row>
    <row r="41" spans="1:19" ht="13" x14ac:dyDescent="0.15">
      <c r="A41" s="14" t="str">
        <f ca="1">IFERROR(__xludf.DUMMYFUNCTION("""COMPUTED_VALUE"""),"GQ")</f>
        <v>GQ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57" t="str">
        <f ca="1">IFERROR(__xludf.DUMMYFUNCTION("""COMPUTED_VALUE"""),"")</f>
        <v/>
      </c>
    </row>
    <row r="42" spans="1:19" ht="13" x14ac:dyDescent="0.15">
      <c r="A42" s="14" t="str">
        <f ca="1">IFERROR(__xludf.DUMMYFUNCTION("""COMPUTED_VALUE"""),"GR")</f>
        <v>GR</v>
      </c>
      <c r="B42" s="54" t="str">
        <f ca="1">IFERROR(__xludf.DUMMYFUNCTION("""COMPUTED_VALUE"""),"https://www.efka.gov.gr/el/meniaia-stoicheia-apascholeses-2021")</f>
        <v>https://www.efka.gov.gr/el/meniaia-stoicheia-apascholeses-2021</v>
      </c>
      <c r="C42" s="14" t="str">
        <f ca="1">IFERROR(__xludf.DUMMYFUNCTION("""COMPUTED_VALUE"""),"EFKA przestała publikować. Ostatnie dane za październik 2021.")</f>
        <v>EFKA przestała publikować. Ostatnie dane za październik 2021.</v>
      </c>
      <c r="D42" s="14" t="str">
        <f ca="1">IFERROR(__xludf.DUMMYFUNCTION("""COMPUTED_VALUE"""),"pod koniec września nie było publikacji. należy wyszukać w ogłoszeniach po frazie: ΣΤΟΙΧΕΙΑ ΑΠΑΣΧΟΛΗΣΗΣ. Bierzemy wartość AVERAGE SALARY / FULL-TIME")</f>
        <v>pod koniec września nie było publikacji. należy wyszukać w ogłoszeniach po frazie: ΣΤΟΙΧΕΙΑ ΑΠΑΣΧΟΛΗΣΗΣ. Bierzemy wartość AVERAGE SALARY / FULL-TIME</v>
      </c>
      <c r="E42" s="54" t="str">
        <f ca="1">IFERROR(__xludf.DUMMYFUNCTION("""COMPUTED_VALUE"""),"https://www.efka.gov.gr/el/anakoinoseis")</f>
        <v>https://www.efka.gov.gr/el/anakoinoseis</v>
      </c>
      <c r="F42" s="14" t="str">
        <f ca="1">IFERROR(__xludf.DUMMYFUNCTION("""COMPUTED_VALUE"""),"Urząd Statystyczny")</f>
        <v>Urząd Statystyczny</v>
      </c>
      <c r="G42" s="54" t="str">
        <f ca="1">IFERROR(__xludf.DUMMYFUNCTION("""COMPUTED_VALUE"""),"http://aftertax.gr/")</f>
        <v>http://aftertax.gr/</v>
      </c>
      <c r="H42" s="14" t="str">
        <f ca="1">IFERROR(__xludf.DUMMYFUNCTION("""COMPUTED_VALUE"""),"October 2021")</f>
        <v>October 2021</v>
      </c>
      <c r="I42" s="14" t="str">
        <f ca="1">IFERROR(__xludf.DUMMYFUNCTION("""COMPUTED_VALUE"""),"monthly")</f>
        <v>monthly</v>
      </c>
      <c r="J42" s="65">
        <f ca="1">IFERROR(__xludf.DUMMYFUNCTION("""COMPUTED_VALUE"""),1173.59)</f>
        <v>1173.5899999999999</v>
      </c>
      <c r="K42" s="14" t="str">
        <f ca="1">IFERROR(__xludf.DUMMYFUNCTION("""COMPUTED_VALUE"""),"EUR")</f>
        <v>EUR</v>
      </c>
      <c r="L42" s="14">
        <f ca="1">IFERROR(__xludf.DUMMYFUNCTION("""COMPUTED_VALUE"""),934)</f>
        <v>934</v>
      </c>
      <c r="M42" s="14" t="str">
        <f ca="1">IFERROR(__xludf.DUMMYFUNCTION("""COMPUTED_VALUE"""),"EUR")</f>
        <v>EUR</v>
      </c>
      <c r="N42" s="14"/>
      <c r="O42" s="14" t="str">
        <f ca="1">IFERROR(__xludf.DUMMYFUNCTION("""COMPUTED_VALUE"""),"February 2020")</f>
        <v>February 2020</v>
      </c>
      <c r="P42" s="14">
        <f ca="1">IFERROR(__xludf.DUMMYFUNCTION("""COMPUTED_VALUE"""),1258.36)</f>
        <v>1258.3599999999999</v>
      </c>
      <c r="Q42" s="14"/>
      <c r="R42" s="14">
        <f ca="1">IFERROR(__xludf.DUMMYFUNCTION("""COMPUTED_VALUE"""),987)</f>
        <v>987</v>
      </c>
      <c r="S42" s="57">
        <f ca="1">IFERROR(__xludf.DUMMYFUNCTION("""COMPUTED_VALUE"""),-0.0536980749746707)</f>
        <v>-5.3698074974670697E-2</v>
      </c>
    </row>
    <row r="43" spans="1:19" ht="13" x14ac:dyDescent="0.15">
      <c r="A43" s="14" t="str">
        <f ca="1">IFERROR(__xludf.DUMMYFUNCTION("""COMPUTED_VALUE"""),"GT")</f>
        <v>GT</v>
      </c>
      <c r="B43" s="54" t="str">
        <f ca="1">IFERROR(__xludf.DUMMYFUNCTION("""COMPUTED_VALUE"""),"https://www.numbeo.com/cost-of-living/country_result.jsp?country=Guatemala")</f>
        <v>https://www.numbeo.com/cost-of-living/country_result.jsp?country=Guatemala</v>
      </c>
      <c r="C43" s="14"/>
      <c r="D43" s="14"/>
      <c r="E43" s="14"/>
      <c r="F43" s="14" t="str">
        <f ca="1">IFERROR(__xludf.DUMMYFUNCTION("""COMPUTED_VALUE"""),"numbeo")</f>
        <v>numbeo</v>
      </c>
      <c r="G43" s="14"/>
      <c r="H43" s="14" t="str">
        <f ca="1">IFERROR(__xludf.DUMMYFUNCTION("""COMPUTED_VALUE"""),"September 2022")</f>
        <v>September 2022</v>
      </c>
      <c r="I43" s="14" t="str">
        <f ca="1">IFERROR(__xludf.DUMMYFUNCTION("""COMPUTED_VALUE"""),"monthly")</f>
        <v>monthly</v>
      </c>
      <c r="J43" s="14"/>
      <c r="K43" s="14"/>
      <c r="L43" s="14">
        <f ca="1">IFERROR(__xludf.DUMMYFUNCTION("""COMPUTED_VALUE"""),3938.24)</f>
        <v>3938.24</v>
      </c>
      <c r="M43" s="14" t="str">
        <f ca="1">IFERROR(__xludf.DUMMYFUNCTION("""COMPUTED_VALUE"""),"GTQ")</f>
        <v>GTQ</v>
      </c>
      <c r="N43" s="14"/>
      <c r="O43" s="14" t="str">
        <f ca="1">IFERROR(__xludf.DUMMYFUNCTION("""COMPUTED_VALUE"""),"December 2021")</f>
        <v>December 2021</v>
      </c>
      <c r="P43" s="14"/>
      <c r="Q43" s="14"/>
      <c r="R43" s="14">
        <f ca="1">IFERROR(__xludf.DUMMYFUNCTION("""COMPUTED_VALUE"""),3645)</f>
        <v>3645</v>
      </c>
      <c r="S43" s="57">
        <f ca="1">IFERROR(__xludf.DUMMYFUNCTION("""COMPUTED_VALUE"""),0.0804499314128943)</f>
        <v>8.0449931412894304E-2</v>
      </c>
    </row>
    <row r="44" spans="1:19" ht="13" x14ac:dyDescent="0.15">
      <c r="A44" s="14" t="str">
        <f ca="1">IFERROR(__xludf.DUMMYFUNCTION("""COMPUTED_VALUE"""),"HK")</f>
        <v>HK</v>
      </c>
      <c r="B44" s="54" t="str">
        <f ca="1">IFERROR(__xludf.DUMMYFUNCTION("""COMPUTED_VALUE"""),"https://www.censtatd.gov.hk/hkstat/sub/sp210.jsp?productCode=B1050009")</f>
        <v>https://www.censtatd.gov.hk/hkstat/sub/sp210.jsp?productCode=B1050009</v>
      </c>
      <c r="C44" s="14" t="str">
        <f ca="1">IFERROR(__xludf.DUMMYFUNCTION("""COMPUTED_VALUE"""),"niby co kwartał, ale w tym roku nie aktualizowali od marca")</f>
        <v>niby co kwartał, ale w tym roku nie aktualizowali od marca</v>
      </c>
      <c r="D44" s="14"/>
      <c r="E44" s="14"/>
      <c r="F44" s="14" t="str">
        <f ca="1">IFERROR(__xludf.DUMMYFUNCTION("""COMPUTED_VALUE"""),"Urząd Statystyczny")</f>
        <v>Urząd Statystyczny</v>
      </c>
      <c r="G44" s="54" t="str">
        <f ca="1">IFERROR(__xludf.DUMMYFUNCTION("""COMPUTED_VALUE"""),"https://hk.talent.com/en/tax-calculator")</f>
        <v>https://hk.talent.com/en/tax-calculator</v>
      </c>
      <c r="H44" s="14" t="str">
        <f ca="1">IFERROR(__xludf.DUMMYFUNCTION("""COMPUTED_VALUE"""),"March 2021")</f>
        <v>March 2021</v>
      </c>
      <c r="I44" s="14" t="str">
        <f ca="1">IFERROR(__xludf.DUMMYFUNCTION("""COMPUTED_VALUE"""),"monthly")</f>
        <v>monthly</v>
      </c>
      <c r="J44" s="14">
        <f ca="1">IFERROR(__xludf.DUMMYFUNCTION("""COMPUTED_VALUE"""),17146)</f>
        <v>17146</v>
      </c>
      <c r="K44" s="14" t="str">
        <f ca="1">IFERROR(__xludf.DUMMYFUNCTION("""COMPUTED_VALUE"""),"HKD")</f>
        <v>HKD</v>
      </c>
      <c r="L44" s="14">
        <f ca="1">IFERROR(__xludf.DUMMYFUNCTION("""COMPUTED_VALUE"""),16138)</f>
        <v>16138</v>
      </c>
      <c r="M44" s="14" t="str">
        <f ca="1">IFERROR(__xludf.DUMMYFUNCTION("""COMPUTED_VALUE"""),"HKD")</f>
        <v>HKD</v>
      </c>
      <c r="N44" s="14"/>
      <c r="O44" s="14" t="str">
        <f ca="1">IFERROR(__xludf.DUMMYFUNCTION("""COMPUTED_VALUE"""),"March 2021")</f>
        <v>March 2021</v>
      </c>
      <c r="P44" s="14">
        <f ca="1">IFERROR(__xludf.DUMMYFUNCTION("""COMPUTED_VALUE"""),16841)</f>
        <v>16841</v>
      </c>
      <c r="Q44" s="14"/>
      <c r="R44" s="14">
        <f ca="1">IFERROR(__xludf.DUMMYFUNCTION("""COMPUTED_VALUE"""),15858)</f>
        <v>15858</v>
      </c>
      <c r="S44" s="57">
        <f ca="1">IFERROR(__xludf.DUMMYFUNCTION("""COMPUTED_VALUE"""),0.0176567032412662)</f>
        <v>1.7656703241266201E-2</v>
      </c>
    </row>
    <row r="45" spans="1:19" ht="13" x14ac:dyDescent="0.15">
      <c r="A45" s="14" t="str">
        <f ca="1">IFERROR(__xludf.DUMMYFUNCTION("""COMPUTED_VALUE"""),"HN")</f>
        <v>HN</v>
      </c>
      <c r="B45" s="54" t="str">
        <f ca="1">IFERROR(__xludf.DUMMYFUNCTION("""COMPUTED_VALUE"""),"https://www.numbeo.com/cost-of-living/country_result.jsp?country=Honduras&amp;displayCurrency=HNL")</f>
        <v>https://www.numbeo.com/cost-of-living/country_result.jsp?country=Honduras&amp;displayCurrency=HNL</v>
      </c>
      <c r="C45" s="14"/>
      <c r="D45" s="14"/>
      <c r="E45" s="14"/>
      <c r="F45" s="14" t="str">
        <f ca="1">IFERROR(__xludf.DUMMYFUNCTION("""COMPUTED_VALUE"""),"numbeo")</f>
        <v>numbeo</v>
      </c>
      <c r="G45" s="14"/>
      <c r="H45" s="14" t="str">
        <f ca="1">IFERROR(__xludf.DUMMYFUNCTION("""COMPUTED_VALUE"""),"September 2022")</f>
        <v>September 2022</v>
      </c>
      <c r="I45" s="14" t="str">
        <f ca="1">IFERROR(__xludf.DUMMYFUNCTION("""COMPUTED_VALUE"""),"monthly")</f>
        <v>monthly</v>
      </c>
      <c r="J45" s="14"/>
      <c r="K45" s="14"/>
      <c r="L45" s="14">
        <f ca="1">IFERROR(__xludf.DUMMYFUNCTION("""COMPUTED_VALUE"""),12526.12)</f>
        <v>12526.12</v>
      </c>
      <c r="M45" s="14" t="str">
        <f ca="1">IFERROR(__xludf.DUMMYFUNCTION("""COMPUTED_VALUE"""),"HNL")</f>
        <v>HNL</v>
      </c>
      <c r="N45" s="14"/>
      <c r="O45" s="14" t="str">
        <f ca="1">IFERROR(__xludf.DUMMYFUNCTION("""COMPUTED_VALUE"""),"September 2021")</f>
        <v>September 2021</v>
      </c>
      <c r="P45" s="14"/>
      <c r="Q45" s="14"/>
      <c r="R45" s="14">
        <f ca="1">IFERROR(__xludf.DUMMYFUNCTION("""COMPUTED_VALUE"""),12229.48)</f>
        <v>12229.48</v>
      </c>
      <c r="S45" s="57">
        <f ca="1">IFERROR(__xludf.DUMMYFUNCTION("""COMPUTED_VALUE"""),0.0242561417165734)</f>
        <v>2.42561417165734E-2</v>
      </c>
    </row>
    <row r="46" spans="1:19" ht="13" x14ac:dyDescent="0.15">
      <c r="A46" s="14" t="str">
        <f ca="1">IFERROR(__xludf.DUMMYFUNCTION("""COMPUTED_VALUE"""),"HR")</f>
        <v>HR</v>
      </c>
      <c r="B46" s="54" t="str">
        <f ca="1">IFERROR(__xludf.DUMMYFUNCTION("""COMPUTED_VALUE"""),"https://podaci.dzs.hr/hr/")</f>
        <v>https://podaci.dzs.hr/hr/</v>
      </c>
      <c r="C46" s="14" t="str">
        <f ca="1">IFERROR(__xludf.DUMMYFUNCTION("""COMPUTED_VALUE"""),"co miesiąc")</f>
        <v>co miesiąc</v>
      </c>
      <c r="D46" s="58">
        <f ca="1">IFERROR(__xludf.DUMMYFUNCTION("""COMPUTED_VALUE"""),44824)</f>
        <v>44824</v>
      </c>
      <c r="E46" s="54" t="str">
        <f ca="1">IFERROR(__xludf.DUMMYFUNCTION("""COMPUTED_VALUE"""),"https://podaci.dzs.hr/hr/kalendar-objavljivanja-i-program-publiciranja/")</f>
        <v>https://podaci.dzs.hr/hr/kalendar-objavljivanja-i-program-publiciranja/</v>
      </c>
      <c r="F46" s="14" t="str">
        <f ca="1">IFERROR(__xludf.DUMMYFUNCTION("""COMPUTED_VALUE"""),"Urząd Statystyczny")</f>
        <v>Urząd Statystyczny</v>
      </c>
      <c r="G46" s="14" t="str">
        <f ca="1">IFERROR(__xludf.DUMMYFUNCTION("""COMPUTED_VALUE"""),"netto i brutto podaje urząd statystyczny")</f>
        <v>netto i brutto podaje urząd statystyczny</v>
      </c>
      <c r="H46" s="14" t="str">
        <f ca="1">IFERROR(__xludf.DUMMYFUNCTION("""COMPUTED_VALUE"""),"June 2022")</f>
        <v>June 2022</v>
      </c>
      <c r="I46" s="14" t="str">
        <f ca="1">IFERROR(__xludf.DUMMYFUNCTION("""COMPUTED_VALUE"""),"monthly")</f>
        <v>monthly</v>
      </c>
      <c r="J46" s="14">
        <f ca="1">IFERROR(__xludf.DUMMYFUNCTION("""COMPUTED_VALUE"""),10492)</f>
        <v>10492</v>
      </c>
      <c r="K46" s="14" t="str">
        <f ca="1">IFERROR(__xludf.DUMMYFUNCTION("""COMPUTED_VALUE"""),"HRK")</f>
        <v>HRK</v>
      </c>
      <c r="L46" s="14">
        <f ca="1">IFERROR(__xludf.DUMMYFUNCTION("""COMPUTED_VALUE"""),7711)</f>
        <v>7711</v>
      </c>
      <c r="M46" s="14" t="str">
        <f ca="1">IFERROR(__xludf.DUMMYFUNCTION("""COMPUTED_VALUE"""),"HRK")</f>
        <v>HRK</v>
      </c>
      <c r="N46" s="14"/>
      <c r="O46" s="14" t="str">
        <f ca="1">IFERROR(__xludf.DUMMYFUNCTION("""COMPUTED_VALUE"""),"July 2021")</f>
        <v>July 2021</v>
      </c>
      <c r="P46" s="14">
        <f ca="1">IFERROR(__xludf.DUMMYFUNCTION("""COMPUTED_VALUE"""),9488)</f>
        <v>9488</v>
      </c>
      <c r="Q46" s="14"/>
      <c r="R46" s="14">
        <f ca="1">IFERROR(__xludf.DUMMYFUNCTION("""COMPUTED_VALUE"""),7046)</f>
        <v>7046</v>
      </c>
      <c r="S46" s="57">
        <f ca="1">IFERROR(__xludf.DUMMYFUNCTION("""COMPUTED_VALUE"""),0.0943797899517455)</f>
        <v>9.4379789951745494E-2</v>
      </c>
    </row>
    <row r="47" spans="1:19" ht="13" x14ac:dyDescent="0.15">
      <c r="A47" s="14" t="str">
        <f ca="1">IFERROR(__xludf.DUMMYFUNCTION("""COMPUTED_VALUE"""),"HU")</f>
        <v>HU</v>
      </c>
      <c r="B47" s="54" t="str">
        <f ca="1">IFERROR(__xludf.DUMMYFUNCTION("""COMPUTED_VALUE"""),"https://www.ksh.hu/gyorstajekoztatok/#/hu/document/ker2206")</f>
        <v>https://www.ksh.hu/gyorstajekoztatok/#/hu/document/ker2206</v>
      </c>
      <c r="C47" s="14" t="str">
        <f ca="1">IFERROR(__xludf.DUMMYFUNCTION("""COMPUTED_VALUE"""),"co miesiąc, zawsze pod koniec miesiąca")</f>
        <v>co miesiąc, zawsze pod koniec miesiąca</v>
      </c>
      <c r="D47" s="14"/>
      <c r="E47" s="54" t="str">
        <f ca="1">IFERROR(__xludf.DUMMYFUNCTION("""COMPUTED_VALUE"""),"http://www.ksh.hu/dissemination_calendar_fr")</f>
        <v>http://www.ksh.hu/dissemination_calendar_fr</v>
      </c>
      <c r="F47" s="14" t="str">
        <f ca="1">IFERROR(__xludf.DUMMYFUNCTION("""COMPUTED_VALUE"""),"Urząd Statystyczny")</f>
        <v>Urząd Statystyczny</v>
      </c>
      <c r="G47" s="14" t="str">
        <f ca="1">IFERROR(__xludf.DUMMYFUNCTION("""COMPUTED_VALUE"""),"netto i brutto podaje urząd statystyczny")</f>
        <v>netto i brutto podaje urząd statystyczny</v>
      </c>
      <c r="H47" s="14" t="str">
        <f ca="1">IFERROR(__xludf.DUMMYFUNCTION("""COMPUTED_VALUE"""),"June 2022")</f>
        <v>June 2022</v>
      </c>
      <c r="I47" s="14" t="str">
        <f ca="1">IFERROR(__xludf.DUMMYFUNCTION("""COMPUTED_VALUE"""),"monthly")</f>
        <v>monthly</v>
      </c>
      <c r="J47" s="14">
        <f ca="1">IFERROR(__xludf.DUMMYFUNCTION("""COMPUTED_VALUE"""),503500)</f>
        <v>503500</v>
      </c>
      <c r="K47" s="14" t="str">
        <f ca="1">IFERROR(__xludf.DUMMYFUNCTION("""COMPUTED_VALUE"""),"HUF")</f>
        <v>HUF</v>
      </c>
      <c r="L47" s="14">
        <f ca="1">IFERROR(__xludf.DUMMYFUNCTION("""COMPUTED_VALUE"""),347200)</f>
        <v>347200</v>
      </c>
      <c r="M47" s="14" t="str">
        <f ca="1">IFERROR(__xludf.DUMMYFUNCTION("""COMPUTED_VALUE"""),"HUF")</f>
        <v>HUF</v>
      </c>
      <c r="N47" s="14"/>
      <c r="O47" s="14" t="str">
        <f ca="1">IFERROR(__xludf.DUMMYFUNCTION("""COMPUTED_VALUE"""),"January–June 2021")</f>
        <v>January–June 2021</v>
      </c>
      <c r="P47" s="14">
        <f ca="1">IFERROR(__xludf.DUMMYFUNCTION("""COMPUTED_VALUE"""),428200)</f>
        <v>428200</v>
      </c>
      <c r="Q47" s="14"/>
      <c r="R47" s="14">
        <f ca="1">IFERROR(__xludf.DUMMYFUNCTION("""COMPUTED_VALUE"""),284800)</f>
        <v>284800</v>
      </c>
      <c r="S47" s="57">
        <f ca="1">IFERROR(__xludf.DUMMYFUNCTION("""COMPUTED_VALUE"""),0.219101123595505)</f>
        <v>0.21910112359550499</v>
      </c>
    </row>
    <row r="48" spans="1:19" ht="13" x14ac:dyDescent="0.15">
      <c r="A48" s="14" t="str">
        <f ca="1">IFERROR(__xludf.DUMMYFUNCTION("""COMPUTED_VALUE"""),"ID")</f>
        <v>ID</v>
      </c>
      <c r="B48" s="54" t="str">
        <f ca="1">IFERROR(__xludf.DUMMYFUNCTION("""COMPUTED_VALUE"""),"https://www.bps.go.id/indicator/19/1521/1/rata-rata-upah-gaji.html")</f>
        <v>https://www.bps.go.id/indicator/19/1521/1/rata-rata-upah-gaji.html</v>
      </c>
      <c r="C48" s="14" t="str">
        <f ca="1">IFERROR(__xludf.DUMMYFUNCTION("""COMPUTED_VALUE"""),"2 razy w roku")</f>
        <v>2 razy w roku</v>
      </c>
      <c r="D48" s="14"/>
      <c r="E48" s="14"/>
      <c r="F48" s="14" t="str">
        <f ca="1">IFERROR(__xludf.DUMMYFUNCTION("""COMPUTED_VALUE"""),"Urząd Statystyczny")</f>
        <v>Urząd Statystyczny</v>
      </c>
      <c r="G48" s="14" t="str">
        <f ca="1">IFERROR(__xludf.DUMMYFUNCTION("""COMPUTED_VALUE"""),"urząd podaje netto")</f>
        <v>urząd podaje netto</v>
      </c>
      <c r="H48" s="14" t="str">
        <f ca="1">IFERROR(__xludf.DUMMYFUNCTION("""COMPUTED_VALUE"""),"February 2022")</f>
        <v>February 2022</v>
      </c>
      <c r="I48" s="14" t="str">
        <f ca="1">IFERROR(__xludf.DUMMYFUNCTION("""COMPUTED_VALUE"""),"monthly")</f>
        <v>monthly</v>
      </c>
      <c r="J48" s="14"/>
      <c r="K48" s="14"/>
      <c r="L48" s="14">
        <f ca="1">IFERROR(__xludf.DUMMYFUNCTION("""COMPUTED_VALUE"""),2892537)</f>
        <v>2892537</v>
      </c>
      <c r="M48" s="14" t="str">
        <f ca="1">IFERROR(__xludf.DUMMYFUNCTION("""COMPUTED_VALUE"""),"IDR")</f>
        <v>IDR</v>
      </c>
      <c r="N48" s="14"/>
      <c r="O48" s="14" t="str">
        <f ca="1">IFERROR(__xludf.DUMMYFUNCTION("""COMPUTED_VALUE"""),"August 2021")</f>
        <v>August 2021</v>
      </c>
      <c r="P48" s="14"/>
      <c r="Q48" s="14"/>
      <c r="R48" s="14">
        <f ca="1">IFERROR(__xludf.DUMMYFUNCTION("""COMPUTED_VALUE"""),2736463)</f>
        <v>2736463</v>
      </c>
      <c r="S48" s="57">
        <f ca="1">IFERROR(__xludf.DUMMYFUNCTION("""COMPUTED_VALUE"""),0.0570349388974014)</f>
        <v>5.7034938897401397E-2</v>
      </c>
    </row>
    <row r="49" spans="1:19" ht="13" x14ac:dyDescent="0.15">
      <c r="A49" s="14" t="str">
        <f ca="1">IFERROR(__xludf.DUMMYFUNCTION("""COMPUTED_VALUE"""),"IE")</f>
        <v>IE</v>
      </c>
      <c r="B49" s="54" t="str">
        <f ca="1">IFERROR(__xludf.DUMMYFUNCTION("""COMPUTED_VALUE"""),"https://www.cso.ie/en/releasesandpublications/er/elcq/earningsandlabourcostsq42020finalq12021preliminaryestimates/")</f>
        <v>https://www.cso.ie/en/releasesandpublications/er/elcq/earningsandlabourcostsq42020finalq12021preliminaryestimates/</v>
      </c>
      <c r="C49" s="54" t="str">
        <f ca="1">IFERROR(__xludf.DUMMYFUNCTION("""COMPUTED_VALUE"""),"https://www.cso.ie/en/releasesandpublications/er/elcq/earningsandlabourcostsq42021finalq12022preliminaryestimates/")</f>
        <v>https://www.cso.ie/en/releasesandpublications/er/elcq/earningsandlabourcostsq42021finalq12022preliminaryestimates/</v>
      </c>
      <c r="D49" s="14" t="str">
        <f ca="1">IFERROR(__xludf.DUMMYFUNCTION("""COMPUTED_VALUE"""),"pod koniec sierpnia 2022")</f>
        <v>pod koniec sierpnia 2022</v>
      </c>
      <c r="E49" s="54" t="str">
        <f ca="1">IFERROR(__xludf.DUMMYFUNCTION("""COMPUTED_VALUE"""),"https://www.cso.ie/en/csolatestnews/releasecalendar/")</f>
        <v>https://www.cso.ie/en/csolatestnews/releasecalendar/</v>
      </c>
      <c r="F49" s="14" t="str">
        <f ca="1">IFERROR(__xludf.DUMMYFUNCTION("""COMPUTED_VALUE"""),"Urząd Statystyczny")</f>
        <v>Urząd Statystyczny</v>
      </c>
      <c r="G49" s="54" t="str">
        <f ca="1">IFERROR(__xludf.DUMMYFUNCTION("""COMPUTED_VALUE"""),"https://salaryaftertax.com/ie/salary-calculator")</f>
        <v>https://salaryaftertax.com/ie/salary-calculator</v>
      </c>
      <c r="H49" s="14" t="str">
        <f ca="1">IFERROR(__xludf.DUMMYFUNCTION("""COMPUTED_VALUE"""),"Q2 2022")</f>
        <v>Q2 2022</v>
      </c>
      <c r="I49" s="14" t="str">
        <f ca="1">IFERROR(__xludf.DUMMYFUNCTION("""COMPUTED_VALUE"""),"monthly")</f>
        <v>monthly</v>
      </c>
      <c r="J49" s="14" t="str">
        <f ca="1">IFERROR(__xludf.DUMMYFUNCTION("""COMPUTED_VALUE"""),"871.62 / week")</f>
        <v>871.62 / week</v>
      </c>
      <c r="K49" s="14" t="str">
        <f ca="1">IFERROR(__xludf.DUMMYFUNCTION("""COMPUTED_VALUE"""),"EUR")</f>
        <v>EUR</v>
      </c>
      <c r="L49" s="14">
        <f ca="1">IFERROR(__xludf.DUMMYFUNCTION("""COMPUTED_VALUE"""),2902)</f>
        <v>2902</v>
      </c>
      <c r="M49" s="14" t="str">
        <f ca="1">IFERROR(__xludf.DUMMYFUNCTION("""COMPUTED_VALUE"""),"EUR")</f>
        <v>EUR</v>
      </c>
      <c r="N49" s="14"/>
      <c r="O49" s="14" t="str">
        <f ca="1">IFERROR(__xludf.DUMMYFUNCTION("""COMPUTED_VALUE"""),"Q1 2021")</f>
        <v>Q1 2021</v>
      </c>
      <c r="P49" s="14" t="str">
        <f ca="1">IFERROR(__xludf.DUMMYFUNCTION("""COMPUTED_VALUE"""),"867.52 / week")</f>
        <v>867.52 / week</v>
      </c>
      <c r="Q49" s="14"/>
      <c r="R49" s="14">
        <f ca="1">IFERROR(__xludf.DUMMYFUNCTION("""COMPUTED_VALUE"""),659)</f>
        <v>659</v>
      </c>
      <c r="S49" s="57">
        <f ca="1">IFERROR(__xludf.DUMMYFUNCTION("""COMPUTED_VALUE"""),3.40364188163884)</f>
        <v>3.4036418816388401</v>
      </c>
    </row>
    <row r="50" spans="1:19" ht="13" x14ac:dyDescent="0.15">
      <c r="A50" s="14" t="str">
        <f ca="1">IFERROR(__xludf.DUMMYFUNCTION("""COMPUTED_VALUE"""),"IL")</f>
        <v>IL</v>
      </c>
      <c r="B50" s="54" t="str">
        <f ca="1">IFERROR(__xludf.DUMMYFUNCTION("""COMPUTED_VALUE"""),"https://www.cbs.gov.il/he/pages/default.aspx")</f>
        <v>https://www.cbs.gov.il/he/pages/default.aspx</v>
      </c>
      <c r="C50" s="14" t="str">
        <f ca="1">IFERROR(__xludf.DUMMYFUNCTION("""COMPUTED_VALUE"""),"co miesiąc")</f>
        <v>co miesiąc</v>
      </c>
      <c r="D50" s="58">
        <f ca="1">IFERROR(__xludf.DUMMYFUNCTION("""COMPUTED_VALUE"""),44808)</f>
        <v>44808</v>
      </c>
      <c r="E50" s="54" t="str">
        <f ca="1">IFERROR(__xludf.DUMMYFUNCTION("""COMPUTED_VALUE"""),"https://www.cbs.gov.il/he/Pages/%D7%AA%D7%97%D7%96%D7%99%D7%AA-%D7%A4%D7%A8%D7%A1%D7%95%D7%9D.aspx#?Subject=&amp;Interval=120")</f>
        <v>https://www.cbs.gov.il/he/Pages/%D7%AA%D7%97%D7%96%D7%99%D7%AA-%D7%A4%D7%A8%D7%A1%D7%95%D7%9D.aspx#?Subject=&amp;Interval=120</v>
      </c>
      <c r="F50" s="14" t="str">
        <f ca="1">IFERROR(__xludf.DUMMYFUNCTION("""COMPUTED_VALUE"""),"Urząd Statystyczny")</f>
        <v>Urząd Statystyczny</v>
      </c>
      <c r="G50" s="54" t="str">
        <f ca="1">IFERROR(__xludf.DUMMYFUNCTION("""COMPUTED_VALUE"""),"https://il.talent.com/en/tax-calculator?salary=12672&amp;from=month&amp;region=Israel")</f>
        <v>https://il.talent.com/en/tax-calculator?salary=12672&amp;from=month&amp;region=Israel</v>
      </c>
      <c r="H50" s="14" t="str">
        <f ca="1">IFERROR(__xludf.DUMMYFUNCTION("""COMPUTED_VALUE"""),"June 2022")</f>
        <v>June 2022</v>
      </c>
      <c r="I50" s="14" t="str">
        <f ca="1">IFERROR(__xludf.DUMMYFUNCTION("""COMPUTED_VALUE"""),"monthly")</f>
        <v>monthly</v>
      </c>
      <c r="J50" s="14">
        <f ca="1">IFERROR(__xludf.DUMMYFUNCTION("""COMPUTED_VALUE"""),12522)</f>
        <v>12522</v>
      </c>
      <c r="K50" s="14" t="str">
        <f ca="1">IFERROR(__xludf.DUMMYFUNCTION("""COMPUTED_VALUE"""),"NIS")</f>
        <v>NIS</v>
      </c>
      <c r="L50" s="14">
        <f ca="1">IFERROR(__xludf.DUMMYFUNCTION("""COMPUTED_VALUE"""),9846)</f>
        <v>9846</v>
      </c>
      <c r="M50" s="14" t="str">
        <f ca="1">IFERROR(__xludf.DUMMYFUNCTION("""COMPUTED_VALUE"""),"NIS")</f>
        <v>NIS</v>
      </c>
      <c r="N50" s="14"/>
      <c r="O50" s="14" t="str">
        <f ca="1">IFERROR(__xludf.DUMMYFUNCTION("""COMPUTED_VALUE"""),"June 2021")</f>
        <v>June 2021</v>
      </c>
      <c r="P50" s="14">
        <f ca="1">IFERROR(__xludf.DUMMYFUNCTION("""COMPUTED_VALUE"""),12169)</f>
        <v>12169</v>
      </c>
      <c r="Q50" s="14"/>
      <c r="R50" s="14">
        <f ca="1">IFERROR(__xludf.DUMMYFUNCTION("""COMPUTED_VALUE"""),10529)</f>
        <v>10529</v>
      </c>
      <c r="S50" s="57">
        <f ca="1">IFERROR(__xludf.DUMMYFUNCTION("""COMPUTED_VALUE"""),-0.0648684585430715)</f>
        <v>-6.4868458543071494E-2</v>
      </c>
    </row>
    <row r="51" spans="1:19" ht="13" x14ac:dyDescent="0.15">
      <c r="A51" s="14" t="str">
        <f ca="1">IFERROR(__xludf.DUMMYFUNCTION("""COMPUTED_VALUE"""),"IN")</f>
        <v>IN</v>
      </c>
      <c r="B51" s="54" t="str">
        <f ca="1">IFERROR(__xludf.DUMMYFUNCTION("""COMPUTED_VALUE"""),"https://www.numbeo.com/cost-of-living/country_result.jsp?country=India")</f>
        <v>https://www.numbeo.com/cost-of-living/country_result.jsp?country=India</v>
      </c>
      <c r="C51" s="14"/>
      <c r="D51" s="14" t="str">
        <f ca="1">IFERROR(__xludf.DUMMYFUNCTION("""COMPUTED_VALUE"""),"June 2022")</f>
        <v>June 2022</v>
      </c>
      <c r="E51" s="14"/>
      <c r="F51" s="14" t="str">
        <f ca="1">IFERROR(__xludf.DUMMYFUNCTION("""COMPUTED_VALUE"""),"numbeo")</f>
        <v>numbeo</v>
      </c>
      <c r="G51" s="14"/>
      <c r="H51" s="14" t="str">
        <f ca="1">IFERROR(__xludf.DUMMYFUNCTION("""COMPUTED_VALUE"""),"September 2022")</f>
        <v>September 2022</v>
      </c>
      <c r="I51" s="14" t="str">
        <f ca="1">IFERROR(__xludf.DUMMYFUNCTION("""COMPUTED_VALUE"""),"monthly")</f>
        <v>monthly</v>
      </c>
      <c r="J51" s="14"/>
      <c r="K51" s="14"/>
      <c r="L51" s="14">
        <f ca="1">IFERROR(__xludf.DUMMYFUNCTION("""COMPUTED_VALUE"""),42045.83)</f>
        <v>42045.83</v>
      </c>
      <c r="M51" s="14" t="str">
        <f ca="1">IFERROR(__xludf.DUMMYFUNCTION("""COMPUTED_VALUE"""),"INR")</f>
        <v>INR</v>
      </c>
      <c r="N51" s="14"/>
      <c r="O51" s="14" t="str">
        <f ca="1">IFERROR(__xludf.DUMMYFUNCTION("""COMPUTED_VALUE"""),"September 2021")</f>
        <v>September 2021</v>
      </c>
      <c r="P51" s="14"/>
      <c r="Q51" s="14"/>
      <c r="R51" s="14">
        <f ca="1">IFERROR(__xludf.DUMMYFUNCTION("""COMPUTED_VALUE"""),33283.3)</f>
        <v>33283.300000000003</v>
      </c>
      <c r="S51" s="57">
        <f ca="1">IFERROR(__xludf.DUMMYFUNCTION("""COMPUTED_VALUE"""),0.263271069875883)</f>
        <v>0.263271069875883</v>
      </c>
    </row>
    <row r="52" spans="1:19" ht="13" x14ac:dyDescent="0.15">
      <c r="A52" s="14" t="str">
        <f ca="1">IFERROR(__xludf.DUMMYFUNCTION("""COMPUTED_VALUE"""),"IQ")</f>
        <v>IQ</v>
      </c>
      <c r="B52" s="54" t="str">
        <f ca="1">IFERROR(__xludf.DUMMYFUNCTION("""COMPUTED_VALUE"""),"https://www.numbeo.com/cost-of-living/country_result.jsp?country=Iraq&amp;displayCurrency=IQD")</f>
        <v>https://www.numbeo.com/cost-of-living/country_result.jsp?country=Iraq&amp;displayCurrency=IQD</v>
      </c>
      <c r="C52" s="14"/>
      <c r="D52" s="14"/>
      <c r="E52" s="14"/>
      <c r="F52" s="14" t="str">
        <f ca="1">IFERROR(__xludf.DUMMYFUNCTION("""COMPUTED_VALUE"""),"numbeo")</f>
        <v>numbeo</v>
      </c>
      <c r="G52" s="14"/>
      <c r="H52" s="14" t="str">
        <f ca="1">IFERROR(__xludf.DUMMYFUNCTION("""COMPUTED_VALUE"""),"September 2022")</f>
        <v>September 2022</v>
      </c>
      <c r="I52" s="14" t="str">
        <f ca="1">IFERROR(__xludf.DUMMYFUNCTION("""COMPUTED_VALUE"""),"monthly")</f>
        <v>monthly</v>
      </c>
      <c r="J52" s="14"/>
      <c r="K52" s="14"/>
      <c r="L52" s="14">
        <f ca="1">IFERROR(__xludf.DUMMYFUNCTION("""COMPUTED_VALUE"""),847539.47)</f>
        <v>847539.47</v>
      </c>
      <c r="M52" s="14" t="str">
        <f ca="1">IFERROR(__xludf.DUMMYFUNCTION("""COMPUTED_VALUE"""),"IQD")</f>
        <v>IQD</v>
      </c>
      <c r="N52" s="14"/>
      <c r="O52" s="14" t="str">
        <f ca="1">IFERROR(__xludf.DUMMYFUNCTION("""COMPUTED_VALUE"""),"September 2021")</f>
        <v>September 2021</v>
      </c>
      <c r="P52" s="14"/>
      <c r="Q52" s="14"/>
      <c r="R52" s="14">
        <f ca="1">IFERROR(__xludf.DUMMYFUNCTION("""COMPUTED_VALUE"""),820577.25)</f>
        <v>820577.25</v>
      </c>
      <c r="S52" s="57">
        <f ca="1">IFERROR(__xludf.DUMMYFUNCTION("""COMPUTED_VALUE"""),0.0328576255312951)</f>
        <v>3.28576255312951E-2</v>
      </c>
    </row>
    <row r="53" spans="1:19" ht="13" x14ac:dyDescent="0.15">
      <c r="A53" s="14" t="str">
        <f ca="1">IFERROR(__xludf.DUMMYFUNCTION("""COMPUTED_VALUE"""),"IR")</f>
        <v>IR</v>
      </c>
      <c r="B53" s="54" t="str">
        <f ca="1">IFERROR(__xludf.DUMMYFUNCTION("""COMPUTED_VALUE"""),"https://www.numbeo.com/cost-of-living/country_result.jsp?country=Iran&amp;displayCurrency=IRR")</f>
        <v>https://www.numbeo.com/cost-of-living/country_result.jsp?country=Iran&amp;displayCurrency=IRR</v>
      </c>
      <c r="C53" s="14"/>
      <c r="D53" s="14"/>
      <c r="E53" s="14"/>
      <c r="F53" s="14" t="str">
        <f ca="1">IFERROR(__xludf.DUMMYFUNCTION("""COMPUTED_VALUE"""),"numbeo")</f>
        <v>numbeo</v>
      </c>
      <c r="G53" s="14"/>
      <c r="H53" s="14" t="str">
        <f ca="1">IFERROR(__xludf.DUMMYFUNCTION("""COMPUTED_VALUE"""),"September 2022")</f>
        <v>September 2022</v>
      </c>
      <c r="I53" s="14" t="str">
        <f ca="1">IFERROR(__xludf.DUMMYFUNCTION("""COMPUTED_VALUE"""),"monthly")</f>
        <v>monthly</v>
      </c>
      <c r="J53" s="14"/>
      <c r="K53" s="14"/>
      <c r="L53" s="14">
        <f ca="1">IFERROR(__xludf.DUMMYFUNCTION("""COMPUTED_VALUE"""),12875430.38)</f>
        <v>12875430.380000001</v>
      </c>
      <c r="M53" s="14" t="str">
        <f ca="1">IFERROR(__xludf.DUMMYFUNCTION("""COMPUTED_VALUE"""),"IRR")</f>
        <v>IRR</v>
      </c>
      <c r="N53" s="14"/>
      <c r="O53" s="14" t="str">
        <f ca="1">IFERROR(__xludf.DUMMYFUNCTION("""COMPUTED_VALUE"""),"September 2021")</f>
        <v>September 2021</v>
      </c>
      <c r="P53" s="14"/>
      <c r="Q53" s="14"/>
      <c r="R53" s="14">
        <f ca="1">IFERROR(__xludf.DUMMYFUNCTION("""COMPUTED_VALUE"""),13461658.19)</f>
        <v>13461658.189999999</v>
      </c>
      <c r="S53" s="57">
        <f ca="1">IFERROR(__xludf.DUMMYFUNCTION("""COMPUTED_VALUE"""),-0.0435479642794286)</f>
        <v>-4.35479642794286E-2</v>
      </c>
    </row>
    <row r="54" spans="1:19" ht="13" x14ac:dyDescent="0.15">
      <c r="A54" s="14" t="str">
        <f ca="1">IFERROR(__xludf.DUMMYFUNCTION("""COMPUTED_VALUE"""),"IS")</f>
        <v>IS</v>
      </c>
      <c r="B54" s="54" t="str">
        <f ca="1">IFERROR(__xludf.DUMMYFUNCTION("""COMPUTED_VALUE"""),"https://statice.is/publications/news-archive/wages-and-income/average-earnings-2021/")</f>
        <v>https://statice.is/publications/news-archive/wages-and-income/average-earnings-2021/</v>
      </c>
      <c r="C54" s="14" t="str">
        <f ca="1">IFERROR(__xludf.DUMMYFUNCTION("""COMPUTED_VALUE"""),"co roku")</f>
        <v>co roku</v>
      </c>
      <c r="D54" s="14"/>
      <c r="E54" s="14"/>
      <c r="F54" s="14" t="str">
        <f ca="1">IFERROR(__xludf.DUMMYFUNCTION("""COMPUTED_VALUE"""),"Urząd Statystyczny")</f>
        <v>Urząd Statystyczny</v>
      </c>
      <c r="G54" s="54" t="str">
        <f ca="1">IFERROR(__xludf.DUMMYFUNCTION("""COMPUTED_VALUE"""),"http://virtus.is/en/")</f>
        <v>http://virtus.is/en/</v>
      </c>
      <c r="H54" s="14">
        <f ca="1">IFERROR(__xludf.DUMMYFUNCTION("""COMPUTED_VALUE"""),2021)</f>
        <v>2021</v>
      </c>
      <c r="I54" s="14" t="str">
        <f ca="1">IFERROR(__xludf.DUMMYFUNCTION("""COMPUTED_VALUE"""),"monthly")</f>
        <v>monthly</v>
      </c>
      <c r="J54" s="14">
        <f ca="1">IFERROR(__xludf.DUMMYFUNCTION("""COMPUTED_VALUE"""),635000)</f>
        <v>635000</v>
      </c>
      <c r="K54" s="14" t="str">
        <f ca="1">IFERROR(__xludf.DUMMYFUNCTION("""COMPUTED_VALUE"""),"ISK")</f>
        <v>ISK</v>
      </c>
      <c r="L54" s="14">
        <f ca="1">IFERROR(__xludf.DUMMYFUNCTION("""COMPUTED_VALUE"""),456255)</f>
        <v>456255</v>
      </c>
      <c r="M54" s="14" t="str">
        <f ca="1">IFERROR(__xludf.DUMMYFUNCTION("""COMPUTED_VALUE"""),"ISK")</f>
        <v>ISK</v>
      </c>
      <c r="N54" s="14"/>
      <c r="O54" s="14">
        <f ca="1">IFERROR(__xludf.DUMMYFUNCTION("""COMPUTED_VALUE"""),2020)</f>
        <v>2020</v>
      </c>
      <c r="P54" s="14">
        <f ca="1">IFERROR(__xludf.DUMMYFUNCTION("""COMPUTED_VALUE"""),670000)</f>
        <v>670000</v>
      </c>
      <c r="Q54" s="14"/>
      <c r="R54" s="14">
        <f ca="1">IFERROR(__xludf.DUMMYFUNCTION("""COMPUTED_VALUE"""),472582)</f>
        <v>472582</v>
      </c>
      <c r="S54" s="57">
        <f ca="1">IFERROR(__xludf.DUMMYFUNCTION("""COMPUTED_VALUE"""),-0.034548501635695)</f>
        <v>-3.4548501635694999E-2</v>
      </c>
    </row>
    <row r="55" spans="1:19" ht="13" x14ac:dyDescent="0.15">
      <c r="A55" s="14" t="str">
        <f ca="1">IFERROR(__xludf.DUMMYFUNCTION("""COMPUTED_VALUE"""),"IT")</f>
        <v>IT</v>
      </c>
      <c r="B55" s="54" t="str">
        <f ca="1">IFERROR(__xludf.DUMMYFUNCTION("""COMPUTED_VALUE"""),"https://ec.europa.eu/eurostat/databrowser/view/EARN_NT_NETFT/default/table?lang=en&amp;category=labour.earn.earn_net")</f>
        <v>https://ec.europa.eu/eurostat/databrowser/view/EARN_NT_NETFT/default/table?lang=en&amp;category=labour.earn.earn_net</v>
      </c>
      <c r="C55" s="14" t="str">
        <f ca="1">IFERROR(__xludf.DUMMYFUNCTION("""COMPUTED_VALUE"""),"?")</f>
        <v>?</v>
      </c>
      <c r="D55" s="14"/>
      <c r="E55" s="14"/>
      <c r="F55" s="14" t="str">
        <f ca="1">IFERROR(__xludf.DUMMYFUNCTION("""COMPUTED_VALUE"""),"Urząd Statystyczny")</f>
        <v>Urząd Statystyczny</v>
      </c>
      <c r="G55" s="54" t="str">
        <f ca="1">IFERROR(__xludf.DUMMYFUNCTION("""COMPUTED_VALUE"""),"https://www.pmi.it/servizi/292472/calcolo-stipendio-netto.html?step=2&amp;ral=22340&amp;reg=lombardia&amp;com=0.8&amp;car=no&amp;child=0&amp;childcharge=100&amp;family=0&amp;monthlypay=14&amp;days=365")</f>
        <v>https://www.pmi.it/servizi/292472/calcolo-stipendio-netto.html?step=2&amp;ral=22340&amp;reg=lombardia&amp;com=0.8&amp;car=no&amp;child=0&amp;childcharge=100&amp;family=0&amp;monthlypay=14&amp;days=365</v>
      </c>
      <c r="H55" s="14">
        <f ca="1">IFERROR(__xludf.DUMMYFUNCTION("""COMPUTED_VALUE"""),2021)</f>
        <v>2021</v>
      </c>
      <c r="I55" s="14" t="str">
        <f ca="1">IFERROR(__xludf.DUMMYFUNCTION("""COMPUTED_VALUE"""),"monthly")</f>
        <v>monthly</v>
      </c>
      <c r="J55" s="14" t="str">
        <f ca="1">IFERROR(__xludf.DUMMYFUNCTION("""COMPUTED_VALUE"""),"22339,60 / year")</f>
        <v>22339,60 / year</v>
      </c>
      <c r="K55" s="14"/>
      <c r="L55" s="14">
        <f ca="1">IFERROR(__xludf.DUMMYFUNCTION("""COMPUTED_VALUE"""),1307)</f>
        <v>1307</v>
      </c>
      <c r="M55" s="14" t="str">
        <f ca="1">IFERROR(__xludf.DUMMYFUNCTION("""COMPUTED_VALUE"""),"EUR")</f>
        <v>EUR</v>
      </c>
      <c r="N55" s="14"/>
      <c r="O55" s="14">
        <f ca="1">IFERROR(__xludf.DUMMYFUNCTION("""COMPUTED_VALUE"""),2020)</f>
        <v>2020</v>
      </c>
      <c r="P55" s="14"/>
      <c r="Q55" s="14"/>
      <c r="R55" s="14">
        <f ca="1">IFERROR(__xludf.DUMMYFUNCTION("""COMPUTED_VALUE"""),1329)</f>
        <v>1329</v>
      </c>
      <c r="S55" s="57">
        <f ca="1">IFERROR(__xludf.DUMMYFUNCTION("""COMPUTED_VALUE"""),-0.0165537998495108)</f>
        <v>-1.6553799849510799E-2</v>
      </c>
    </row>
    <row r="56" spans="1:19" ht="13" x14ac:dyDescent="0.15">
      <c r="A56" s="14" t="str">
        <f ca="1">IFERROR(__xludf.DUMMYFUNCTION("""COMPUTED_VALUE"""),"JM")</f>
        <v>JM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57" t="str">
        <f ca="1">IFERROR(__xludf.DUMMYFUNCTION("""COMPUTED_VALUE"""),"")</f>
        <v/>
      </c>
    </row>
    <row r="57" spans="1:19" ht="13" x14ac:dyDescent="0.15">
      <c r="A57" s="14" t="str">
        <f ca="1">IFERROR(__xludf.DUMMYFUNCTION("""COMPUTED_VALUE"""),"JO")</f>
        <v>JO</v>
      </c>
      <c r="B57" s="54" t="str">
        <f ca="1">IFERROR(__xludf.DUMMYFUNCTION("""COMPUTED_VALUE"""),"https://www.numbeo.com/cost-of-living/country_result.jsp?country=Jordan")</f>
        <v>https://www.numbeo.com/cost-of-living/country_result.jsp?country=Jordan</v>
      </c>
      <c r="C57" s="14"/>
      <c r="D57" s="14"/>
      <c r="E57" s="14"/>
      <c r="F57" s="14" t="str">
        <f ca="1">IFERROR(__xludf.DUMMYFUNCTION("""COMPUTED_VALUE"""),"numbeo")</f>
        <v>numbeo</v>
      </c>
      <c r="G57" s="14"/>
      <c r="H57" s="14" t="str">
        <f ca="1">IFERROR(__xludf.DUMMYFUNCTION("""COMPUTED_VALUE"""),"September 2022")</f>
        <v>September 2022</v>
      </c>
      <c r="I57" s="14" t="str">
        <f ca="1">IFERROR(__xludf.DUMMYFUNCTION("""COMPUTED_VALUE"""),"monthly")</f>
        <v>monthly</v>
      </c>
      <c r="J57" s="14"/>
      <c r="K57" s="14"/>
      <c r="L57" s="14">
        <f ca="1">IFERROR(__xludf.DUMMYFUNCTION("""COMPUTED_VALUE"""),419.88)</f>
        <v>419.88</v>
      </c>
      <c r="M57" s="14" t="str">
        <f ca="1">IFERROR(__xludf.DUMMYFUNCTION("""COMPUTED_VALUE"""),"JOD")</f>
        <v>JOD</v>
      </c>
      <c r="N57" s="14"/>
      <c r="O57" s="14" t="str">
        <f ca="1">IFERROR(__xludf.DUMMYFUNCTION("""COMPUTED_VALUE"""),"September 2021")</f>
        <v>September 2021</v>
      </c>
      <c r="P57" s="14"/>
      <c r="Q57" s="14"/>
      <c r="R57" s="14">
        <f ca="1">IFERROR(__xludf.DUMMYFUNCTION("""COMPUTED_VALUE"""),413.72)</f>
        <v>413.72</v>
      </c>
      <c r="S57" s="57">
        <f ca="1">IFERROR(__xludf.DUMMYFUNCTION("""COMPUTED_VALUE"""),0.0148892971091558)</f>
        <v>1.48892971091558E-2</v>
      </c>
    </row>
    <row r="58" spans="1:19" ht="13" x14ac:dyDescent="0.15">
      <c r="A58" s="14" t="str">
        <f ca="1">IFERROR(__xludf.DUMMYFUNCTION("""COMPUTED_VALUE"""),"JP")</f>
        <v>JP</v>
      </c>
      <c r="B58" s="54" t="str">
        <f ca="1">IFERROR(__xludf.DUMMYFUNCTION("""COMPUTED_VALUE"""),"http://www.stat.go.jp/english/data/nenkan/index.html")</f>
        <v>http://www.stat.go.jp/english/data/nenkan/index.html</v>
      </c>
      <c r="C58" s="14" t="str">
        <f ca="1">IFERROR(__xludf.DUMMYFUNCTION("""COMPUTED_VALUE"""),"Co roku, w roczniku za 2022 rok dane za 2020. W chapter 19 jest punkt Average Monthly Cash Earnings per Regular Employee by Industry. Bierzemy Industries covered, Total cash earnings")</f>
        <v>Co roku, w roczniku za 2022 rok dane za 2020. W chapter 19 jest punkt Average Monthly Cash Earnings per Regular Employee by Industry. Bierzemy Industries covered, Total cash earnings</v>
      </c>
      <c r="D58" s="14" t="str">
        <f ca="1">IFERROR(__xludf.DUMMYFUNCTION("""COMPUTED_VALUE"""),"nie wiadomo")</f>
        <v>nie wiadomo</v>
      </c>
      <c r="E58" s="14"/>
      <c r="F58" s="14" t="str">
        <f ca="1">IFERROR(__xludf.DUMMYFUNCTION("""COMPUTED_VALUE"""),"Urząd Statystyczny")</f>
        <v>Urząd Statystyczny</v>
      </c>
      <c r="G58" s="54" t="str">
        <f ca="1">IFERROR(__xludf.DUMMYFUNCTION("""COMPUTED_VALUE"""),"https://salaryaftertax.com/jp/salary-calculator")</f>
        <v>https://salaryaftertax.com/jp/salary-calculator</v>
      </c>
      <c r="H58" s="14">
        <f ca="1">IFERROR(__xludf.DUMMYFUNCTION("""COMPUTED_VALUE"""),2020)</f>
        <v>2020</v>
      </c>
      <c r="I58" s="14" t="str">
        <f ca="1">IFERROR(__xludf.DUMMYFUNCTION("""COMPUTED_VALUE"""),"monthly")</f>
        <v>monthly</v>
      </c>
      <c r="J58" s="14">
        <f ca="1">IFERROR(__xludf.DUMMYFUNCTION("""COMPUTED_VALUE"""),318405)</f>
        <v>318405</v>
      </c>
      <c r="K58" s="14" t="str">
        <f ca="1">IFERROR(__xludf.DUMMYFUNCTION("""COMPUTED_VALUE"""),"JPY")</f>
        <v>JPY</v>
      </c>
      <c r="L58" s="14">
        <f ca="1">IFERROR(__xludf.DUMMYFUNCTION("""COMPUTED_VALUE"""),264712)</f>
        <v>264712</v>
      </c>
      <c r="M58" s="14" t="str">
        <f ca="1">IFERROR(__xludf.DUMMYFUNCTION("""COMPUTED_VALUE"""),"JPY")</f>
        <v>JPY</v>
      </c>
      <c r="N58" s="14"/>
      <c r="O58" s="14">
        <f ca="1">IFERROR(__xludf.DUMMYFUNCTION("""COMPUTED_VALUE"""),2019)</f>
        <v>2019</v>
      </c>
      <c r="P58" s="14">
        <f ca="1">IFERROR(__xludf.DUMMYFUNCTION("""COMPUTED_VALUE"""),322612)</f>
        <v>322612</v>
      </c>
      <c r="Q58" s="14"/>
      <c r="R58" s="14">
        <f ca="1">IFERROR(__xludf.DUMMYFUNCTION("""COMPUTED_VALUE"""),252100)</f>
        <v>252100</v>
      </c>
      <c r="S58" s="57">
        <f ca="1">IFERROR(__xludf.DUMMYFUNCTION("""COMPUTED_VALUE"""),0.0500277667592226)</f>
        <v>5.0027766759222603E-2</v>
      </c>
    </row>
    <row r="59" spans="1:19" ht="13" x14ac:dyDescent="0.15">
      <c r="A59" s="14" t="str">
        <f ca="1">IFERROR(__xludf.DUMMYFUNCTION("""COMPUTED_VALUE"""),"KE")</f>
        <v>KE</v>
      </c>
      <c r="B59" s="54" t="str">
        <f ca="1">IFERROR(__xludf.DUMMYFUNCTION("""COMPUTED_VALUE"""),"https://www.knbs.or.ke/economic-survey-2022/")</f>
        <v>https://www.knbs.or.ke/economic-survey-2022/</v>
      </c>
      <c r="C59" s="14"/>
      <c r="D59" s="14"/>
      <c r="E59" s="14"/>
      <c r="F59" s="14" t="str">
        <f ca="1">IFERROR(__xludf.DUMMYFUNCTION("""COMPUTED_VALUE"""),"Urząd Statystyczny")</f>
        <v>Urząd Statystyczny</v>
      </c>
      <c r="G59" s="54" t="str">
        <f ca="1">IFERROR(__xludf.DUMMYFUNCTION("""COMPUTED_VALUE"""),"https://calculator.co.ke/kra-salary-income-tax-paye-calculator")</f>
        <v>https://calculator.co.ke/kra-salary-income-tax-paye-calculator</v>
      </c>
      <c r="H59" s="14">
        <f ca="1">IFERROR(__xludf.DUMMYFUNCTION("""COMPUTED_VALUE"""),2021)</f>
        <v>2021</v>
      </c>
      <c r="I59" s="14" t="str">
        <f ca="1">IFERROR(__xludf.DUMMYFUNCTION("""COMPUTED_VALUE"""),"monthly")</f>
        <v>monthly</v>
      </c>
      <c r="J59" s="14">
        <f ca="1">IFERROR(__xludf.DUMMYFUNCTION("""COMPUTED_VALUE"""),827441.2)</f>
        <v>827441.2</v>
      </c>
      <c r="K59" s="14" t="str">
        <f ca="1">IFERROR(__xludf.DUMMYFUNCTION("""COMPUTED_VALUE"""),"KES")</f>
        <v>KES</v>
      </c>
      <c r="L59" s="56">
        <f ca="1">IFERROR(__xludf.DUMMYFUNCTION("""COMPUTED_VALUE"""),53828.0583333333)</f>
        <v>53828.058333333298</v>
      </c>
      <c r="M59" s="14" t="str">
        <f ca="1">IFERROR(__xludf.DUMMYFUNCTION("""COMPUTED_VALUE"""),"KES")</f>
        <v>KES</v>
      </c>
      <c r="N59" s="14"/>
      <c r="O59" s="14">
        <f ca="1">IFERROR(__xludf.DUMMYFUNCTION("""COMPUTED_VALUE"""),2020)</f>
        <v>2020</v>
      </c>
      <c r="P59" s="14" t="str">
        <f ca="1">IFERROR(__xludf.DUMMYFUNCTION("""COMPUTED_VALUE"""),"809886,2 / year")</f>
        <v>809886,2 / year</v>
      </c>
      <c r="Q59" s="14"/>
      <c r="R59" s="56">
        <f ca="1">IFERROR(__xludf.DUMMYFUNCTION("""COMPUTED_VALUE"""),642277.1)</f>
        <v>642277.1</v>
      </c>
      <c r="S59" s="57">
        <f ca="1">IFERROR(__xludf.DUMMYFUNCTION("""COMPUTED_VALUE"""),-0.916191845648345)</f>
        <v>-0.91619184564834499</v>
      </c>
    </row>
    <row r="60" spans="1:19" ht="13" x14ac:dyDescent="0.15">
      <c r="A60" s="14" t="str">
        <f ca="1">IFERROR(__xludf.DUMMYFUNCTION("""COMPUTED_VALUE"""),"KG")</f>
        <v>KG</v>
      </c>
      <c r="B60" s="54" t="str">
        <f ca="1">IFERROR(__xludf.DUMMYFUNCTION("""COMPUTED_VALUE"""),"http://www.stat.kg/ru/statistics/trud-i-zarabotnaya-plata/")</f>
        <v>http://www.stat.kg/ru/statistics/trud-i-zarabotnaya-plata/</v>
      </c>
      <c r="C60" s="14" t="str">
        <f ca="1">IFERROR(__xludf.DUMMYFUNCTION("""COMPUTED_VALUE"""),"co miesiąc")</f>
        <v>co miesiąc</v>
      </c>
      <c r="D60" s="14"/>
      <c r="E60" s="54" t="str">
        <f ca="1">IFERROR(__xludf.DUMMYFUNCTION("""COMPUTED_VALUE"""),"http://www.stat.kg/ru/statistics/trud-i-zarabotnaya-plata/")</f>
        <v>http://www.stat.kg/ru/statistics/trud-i-zarabotnaya-plata/</v>
      </c>
      <c r="F60" s="14" t="str">
        <f ca="1">IFERROR(__xludf.DUMMYFUNCTION("""COMPUTED_VALUE"""),"Urząd Statystyczny")</f>
        <v>Urząd Statystyczny</v>
      </c>
      <c r="G60" s="54" t="str">
        <f ca="1">IFERROR(__xludf.DUMMYFUNCTION("""COMPUTED_VALUE"""),"https://kaktus.media/doc/346604_chto_ostaetsia_ot_zarplaty_kyrgyzstancev_posle_yplaty_nalogov_i_otchisleniy.html")</f>
        <v>https://kaktus.media/doc/346604_chto_ostaetsia_ot_zarplaty_kyrgyzstancev_posle_yplaty_nalogov_i_otchisleniy.html</v>
      </c>
      <c r="H60" s="14" t="str">
        <f ca="1">IFERROR(__xludf.DUMMYFUNCTION("""COMPUTED_VALUE""")," May 2022")</f>
        <v xml:space="preserve"> May 2022</v>
      </c>
      <c r="I60" s="14" t="str">
        <f ca="1">IFERROR(__xludf.DUMMYFUNCTION("""COMPUTED_VALUE"""),"monthly")</f>
        <v>monthly</v>
      </c>
      <c r="J60" s="14">
        <f ca="1">IFERROR(__xludf.DUMMYFUNCTION("""COMPUTED_VALUE"""),26290)</f>
        <v>26290</v>
      </c>
      <c r="K60" s="14" t="str">
        <f ca="1">IFERROR(__xludf.DUMMYFUNCTION("""COMPUTED_VALUE"""),"KGS")</f>
        <v>KGS</v>
      </c>
      <c r="L60" s="14">
        <f ca="1">IFERROR(__xludf.DUMMYFUNCTION("""COMPUTED_VALUE"""),20709.9)</f>
        <v>20709.900000000001</v>
      </c>
      <c r="M60" s="14" t="str">
        <f ca="1">IFERROR(__xludf.DUMMYFUNCTION("""COMPUTED_VALUE"""),"KGS")</f>
        <v>KGS</v>
      </c>
      <c r="N60" s="14"/>
      <c r="O60" s="14" t="str">
        <f ca="1">IFERROR(__xludf.DUMMYFUNCTION("""COMPUTED_VALUE""")," November 2021")</f>
        <v xml:space="preserve"> November 2021</v>
      </c>
      <c r="P60" s="14">
        <f ca="1">IFERROR(__xludf.DUMMYFUNCTION("""COMPUTED_VALUE"""),19668)</f>
        <v>19668</v>
      </c>
      <c r="Q60" s="14"/>
      <c r="R60" s="14">
        <f ca="1">IFERROR(__xludf.DUMMYFUNCTION("""COMPUTED_VALUE"""),15346.08)</f>
        <v>15346.08</v>
      </c>
      <c r="S60" s="57">
        <f ca="1">IFERROR(__xludf.DUMMYFUNCTION("""COMPUTED_VALUE"""),0.349523787182133)</f>
        <v>0.34952378718213301</v>
      </c>
    </row>
    <row r="61" spans="1:19" ht="13" x14ac:dyDescent="0.15">
      <c r="A61" s="14" t="str">
        <f ca="1">IFERROR(__xludf.DUMMYFUNCTION("""COMPUTED_VALUE"""),"KH")</f>
        <v>KH</v>
      </c>
      <c r="B61" s="54" t="str">
        <f ca="1">IFERROR(__xludf.DUMMYFUNCTION("""COMPUTED_VALUE"""),"https://www.numbeo.com/cost-of-living/country_result.jsp?country=Cambodia&amp;displayCurrency=KHR")</f>
        <v>https://www.numbeo.com/cost-of-living/country_result.jsp?country=Cambodia&amp;displayCurrency=KHR</v>
      </c>
      <c r="C61" s="14"/>
      <c r="D61" s="14"/>
      <c r="E61" s="14"/>
      <c r="F61" s="14" t="str">
        <f ca="1">IFERROR(__xludf.DUMMYFUNCTION("""COMPUTED_VALUE"""),"numbeo")</f>
        <v>numbeo</v>
      </c>
      <c r="G61" s="14"/>
      <c r="H61" s="14" t="str">
        <f ca="1">IFERROR(__xludf.DUMMYFUNCTION("""COMPUTED_VALUE"""),"September 2022")</f>
        <v>September 2022</v>
      </c>
      <c r="I61" s="14" t="str">
        <f ca="1">IFERROR(__xludf.DUMMYFUNCTION("""COMPUTED_VALUE"""),"monthly")</f>
        <v>monthly</v>
      </c>
      <c r="J61" s="14"/>
      <c r="K61" s="14"/>
      <c r="L61" s="14">
        <f ca="1">IFERROR(__xludf.DUMMYFUNCTION("""COMPUTED_VALUE"""),1146384.08)</f>
        <v>1146384.08</v>
      </c>
      <c r="M61" s="14" t="str">
        <f ca="1">IFERROR(__xludf.DUMMYFUNCTION("""COMPUTED_VALUE"""),"KHR")</f>
        <v>KHR</v>
      </c>
      <c r="N61" s="14"/>
      <c r="O61" s="14" t="str">
        <f ca="1">IFERROR(__xludf.DUMMYFUNCTION("""COMPUTED_VALUE"""),"September 2021")</f>
        <v>September 2021</v>
      </c>
      <c r="P61" s="14"/>
      <c r="Q61" s="14"/>
      <c r="R61" s="14">
        <f ca="1">IFERROR(__xludf.DUMMYFUNCTION("""COMPUTED_VALUE"""),867186.85)</f>
        <v>867186.85</v>
      </c>
      <c r="S61" s="57">
        <f ca="1">IFERROR(__xludf.DUMMYFUNCTION("""COMPUTED_VALUE"""),0.321957407449156)</f>
        <v>0.32195740744915602</v>
      </c>
    </row>
    <row r="62" spans="1:19" ht="13" x14ac:dyDescent="0.15">
      <c r="A62" s="14" t="str">
        <f ca="1">IFERROR(__xludf.DUMMYFUNCTION("""COMPUTED_VALUE"""),"KR")</f>
        <v>KR</v>
      </c>
      <c r="B62" s="54" t="str">
        <f ca="1">IFERROR(__xludf.DUMMYFUNCTION("""COMPUTED_VALUE"""),"http://eboard.moel.go.kr/indicator/detail?menu_idx=3#")</f>
        <v>http://eboard.moel.go.kr/indicator/detail?menu_idx=3#</v>
      </c>
      <c r="C62" s="14" t="str">
        <f ca="1">IFERROR(__xludf.DUMMYFUNCTION("""COMPUTED_VALUE"""),"co miesiąc")</f>
        <v>co miesiąc</v>
      </c>
      <c r="D62" s="14" t="str">
        <f ca="1">IFERROR(__xludf.DUMMYFUNCTION("""COMPUTED_VALUE"""),"nie wiadomo, ale jakoś na początku miesiąca")</f>
        <v>nie wiadomo, ale jakoś na początku miesiąca</v>
      </c>
      <c r="E62" s="14"/>
      <c r="F62" s="14" t="str">
        <f ca="1">IFERROR(__xludf.DUMMYFUNCTION("""COMPUTED_VALUE"""),"Ministerstwo Pracy")</f>
        <v>Ministerstwo Pracy</v>
      </c>
      <c r="G62" s="54" t="str">
        <f ca="1">IFERROR(__xludf.DUMMYFUNCTION("""COMPUTED_VALUE"""),"https://work.calculate.co.kr/annual-salary-calculator")</f>
        <v>https://work.calculate.co.kr/annual-salary-calculator</v>
      </c>
      <c r="H62" s="14" t="str">
        <f ca="1">IFERROR(__xludf.DUMMYFUNCTION("""COMPUTED_VALUE"""),"May 2022")</f>
        <v>May 2022</v>
      </c>
      <c r="I62" s="14" t="str">
        <f ca="1">IFERROR(__xludf.DUMMYFUNCTION("""COMPUTED_VALUE"""),"monthly")</f>
        <v>monthly</v>
      </c>
      <c r="J62" s="14">
        <f ca="1">IFERROR(__xludf.DUMMYFUNCTION("""COMPUTED_VALUE"""),3590000)</f>
        <v>3590000</v>
      </c>
      <c r="K62" s="14"/>
      <c r="L62" s="14">
        <f ca="1">IFERROR(__xludf.DUMMYFUNCTION("""COMPUTED_VALUE"""),3110880)</f>
        <v>3110880</v>
      </c>
      <c r="M62" s="14" t="str">
        <f ca="1">IFERROR(__xludf.DUMMYFUNCTION("""COMPUTED_VALUE"""),"KRW")</f>
        <v>KRW</v>
      </c>
      <c r="N62" s="14"/>
      <c r="O62" s="14" t="str">
        <f ca="1">IFERROR(__xludf.DUMMYFUNCTION("""COMPUTED_VALUE"""),"September 2021")</f>
        <v>September 2021</v>
      </c>
      <c r="P62" s="14"/>
      <c r="Q62" s="14"/>
      <c r="R62" s="14">
        <f ca="1">IFERROR(__xludf.DUMMYFUNCTION("""COMPUTED_VALUE"""),2669763.92)</f>
        <v>2669763.92</v>
      </c>
      <c r="S62" s="57">
        <f ca="1">IFERROR(__xludf.DUMMYFUNCTION("""COMPUTED_VALUE"""),0.165226624232752)</f>
        <v>0.165226624232752</v>
      </c>
    </row>
    <row r="63" spans="1:19" ht="13" x14ac:dyDescent="0.15">
      <c r="A63" s="14" t="str">
        <f ca="1">IFERROR(__xludf.DUMMYFUNCTION("""COMPUTED_VALUE"""),"KW")</f>
        <v>KW</v>
      </c>
      <c r="B63" s="54" t="str">
        <f ca="1">IFERROR(__xludf.DUMMYFUNCTION("""COMPUTED_VALUE"""),"https://www.numbeo.com/cost-of-living/country_result.jsp?country=Kuwait")</f>
        <v>https://www.numbeo.com/cost-of-living/country_result.jsp?country=Kuwait</v>
      </c>
      <c r="C63" s="14"/>
      <c r="D63" s="14"/>
      <c r="E63" s="14"/>
      <c r="F63" s="14" t="str">
        <f ca="1">IFERROR(__xludf.DUMMYFUNCTION("""COMPUTED_VALUE"""),"numbeo")</f>
        <v>numbeo</v>
      </c>
      <c r="G63" s="14"/>
      <c r="H63" s="14" t="str">
        <f ca="1">IFERROR(__xludf.DUMMYFUNCTION("""COMPUTED_VALUE"""),"September 2022")</f>
        <v>September 2022</v>
      </c>
      <c r="I63" s="14" t="str">
        <f ca="1">IFERROR(__xludf.DUMMYFUNCTION("""COMPUTED_VALUE"""),"monthly")</f>
        <v>monthly</v>
      </c>
      <c r="J63" s="14"/>
      <c r="K63" s="14"/>
      <c r="L63" s="14">
        <f ca="1">IFERROR(__xludf.DUMMYFUNCTION("""COMPUTED_VALUE"""),585.18)</f>
        <v>585.17999999999995</v>
      </c>
      <c r="M63" s="14" t="str">
        <f ca="1">IFERROR(__xludf.DUMMYFUNCTION("""COMPUTED_VALUE"""),"KWD")</f>
        <v>KWD</v>
      </c>
      <c r="N63" s="14"/>
      <c r="O63" s="14" t="str">
        <f ca="1">IFERROR(__xludf.DUMMYFUNCTION("""COMPUTED_VALUE"""),"September 2021")</f>
        <v>September 2021</v>
      </c>
      <c r="P63" s="14"/>
      <c r="Q63" s="14"/>
      <c r="R63" s="14">
        <f ca="1">IFERROR(__xludf.DUMMYFUNCTION("""COMPUTED_VALUE"""),571.36)</f>
        <v>571.36</v>
      </c>
      <c r="S63" s="57">
        <f ca="1">IFERROR(__xludf.DUMMYFUNCTION("""COMPUTED_VALUE"""),0.0241879025483056)</f>
        <v>2.41879025483056E-2</v>
      </c>
    </row>
    <row r="64" spans="1:19" ht="13" x14ac:dyDescent="0.15">
      <c r="A64" s="14" t="str">
        <f ca="1">IFERROR(__xludf.DUMMYFUNCTION("""COMPUTED_VALUE"""),"KZ")</f>
        <v>KZ</v>
      </c>
      <c r="B64" s="54" t="str">
        <f ca="1">IFERROR(__xludf.DUMMYFUNCTION("""COMPUTED_VALUE"""),"https://stat.gov.kz/edition/publication/month")</f>
        <v>https://stat.gov.kz/edition/publication/month</v>
      </c>
      <c r="C64" s="14" t="str">
        <f ca="1">IFERROR(__xludf.DUMMYFUNCTION("""COMPUTED_VALUE"""),"co miesiąc")</f>
        <v>co miesiąc</v>
      </c>
      <c r="D64" s="14"/>
      <c r="E64" s="14"/>
      <c r="F64" s="14" t="str">
        <f ca="1">IFERROR(__xludf.DUMMYFUNCTION("""COMPUTED_VALUE"""),"Urząd Statystyczny")</f>
        <v>Urząd Statystyczny</v>
      </c>
      <c r="G64" s="14" t="str">
        <f ca="1">IFERROR(__xludf.DUMMYFUNCTION("""COMPUTED_VALUE"""),"https://mybuh.kz/useful/calc/
https://findhow.org/811-kalkulyator-dlya-rascheta-nalogov-po-zarabotnoy-plate-v-kazahstane.html")</f>
        <v>https://mybuh.kz/useful/calc/
https://findhow.org/811-kalkulyator-dlya-rascheta-nalogov-po-zarabotnoy-plate-v-kazahstane.html</v>
      </c>
      <c r="H64" s="14" t="str">
        <f ca="1">IFERROR(__xludf.DUMMYFUNCTION("""COMPUTED_VALUE"""),"Q2/2022")</f>
        <v>Q2/2022</v>
      </c>
      <c r="I64" s="14" t="str">
        <f ca="1">IFERROR(__xludf.DUMMYFUNCTION("""COMPUTED_VALUE"""),"monthly")</f>
        <v>monthly</v>
      </c>
      <c r="J64" s="14">
        <f ca="1">IFERROR(__xludf.DUMMYFUNCTION("""COMPUTED_VALUE"""),312011)</f>
        <v>312011</v>
      </c>
      <c r="K64" s="14" t="str">
        <f ca="1">IFERROR(__xludf.DUMMYFUNCTION("""COMPUTED_VALUE"""),"KZT")</f>
        <v>KZT</v>
      </c>
      <c r="L64" s="14">
        <f ca="1">IFERROR(__xludf.DUMMYFUNCTION("""COMPUTED_VALUE"""),251401)</f>
        <v>251401</v>
      </c>
      <c r="M64" s="14" t="str">
        <f ca="1">IFERROR(__xludf.DUMMYFUNCTION("""COMPUTED_VALUE"""),"KZT")</f>
        <v>KZT</v>
      </c>
      <c r="N64" s="14"/>
      <c r="O64" s="14" t="str">
        <f ca="1">IFERROR(__xludf.DUMMYFUNCTION("""COMPUTED_VALUE"""),"July 2021")</f>
        <v>July 2021</v>
      </c>
      <c r="P64" s="14">
        <f ca="1">IFERROR(__xludf.DUMMYFUNCTION("""COMPUTED_VALUE"""),256455)</f>
        <v>256455</v>
      </c>
      <c r="Q64" s="14"/>
      <c r="R64" s="14">
        <f ca="1">IFERROR(__xludf.DUMMYFUNCTION("""COMPUTED_VALUE"""),207362.36)</f>
        <v>207362.36</v>
      </c>
      <c r="S64" s="57">
        <f ca="1">IFERROR(__xludf.DUMMYFUNCTION("""COMPUTED_VALUE"""),0.212375283537475)</f>
        <v>0.21237528353747501</v>
      </c>
    </row>
    <row r="65" spans="1:19" ht="13" x14ac:dyDescent="0.15">
      <c r="A65" s="14" t="str">
        <f ca="1">IFERROR(__xludf.DUMMYFUNCTION("""COMPUTED_VALUE"""),"LA")</f>
        <v>LA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57" t="str">
        <f ca="1">IFERROR(__xludf.DUMMYFUNCTION("""COMPUTED_VALUE"""),"")</f>
        <v/>
      </c>
    </row>
    <row r="66" spans="1:19" ht="13" x14ac:dyDescent="0.15">
      <c r="A66" s="14" t="str">
        <f ca="1">IFERROR(__xludf.DUMMYFUNCTION("""COMPUTED_VALUE"""),"LK")</f>
        <v>LK</v>
      </c>
      <c r="B66" s="54" t="str">
        <f ca="1">IFERROR(__xludf.DUMMYFUNCTION("""COMPUTED_VALUE"""),"https://www.numbeo.com/cost-of-living/country_result.jsp?country=Sri+Lanka")</f>
        <v>https://www.numbeo.com/cost-of-living/country_result.jsp?country=Sri+Lanka</v>
      </c>
      <c r="C66" s="14"/>
      <c r="D66" s="14"/>
      <c r="E66" s="14"/>
      <c r="F66" s="14" t="str">
        <f ca="1">IFERROR(__xludf.DUMMYFUNCTION("""COMPUTED_VALUE"""),"numbeo")</f>
        <v>numbeo</v>
      </c>
      <c r="G66" s="14"/>
      <c r="H66" s="14" t="str">
        <f ca="1">IFERROR(__xludf.DUMMYFUNCTION("""COMPUTED_VALUE"""),"September 2022")</f>
        <v>September 2022</v>
      </c>
      <c r="I66" s="14" t="str">
        <f ca="1">IFERROR(__xludf.DUMMYFUNCTION("""COMPUTED_VALUE"""),"monthly")</f>
        <v>monthly</v>
      </c>
      <c r="J66" s="14"/>
      <c r="K66" s="14"/>
      <c r="L66" s="14">
        <f ca="1">IFERROR(__xludf.DUMMYFUNCTION("""COMPUTED_VALUE"""),52441.86)</f>
        <v>52441.86</v>
      </c>
      <c r="M66" s="14" t="str">
        <f ca="1">IFERROR(__xludf.DUMMYFUNCTION("""COMPUTED_VALUE"""),"LKR")</f>
        <v>LKR</v>
      </c>
      <c r="N66" s="14"/>
      <c r="O66" s="14" t="str">
        <f ca="1">IFERROR(__xludf.DUMMYFUNCTION("""COMPUTED_VALUE"""),"June 2021")</f>
        <v>June 2021</v>
      </c>
      <c r="P66" s="14"/>
      <c r="Q66" s="14"/>
      <c r="R66" s="14">
        <f ca="1">IFERROR(__xludf.DUMMYFUNCTION("""COMPUTED_VALUE"""),48941.67)</f>
        <v>48941.67</v>
      </c>
      <c r="S66" s="57">
        <f ca="1">IFERROR(__xludf.DUMMYFUNCTION("""COMPUTED_VALUE"""),0.0715175840955162)</f>
        <v>7.1517584095516201E-2</v>
      </c>
    </row>
    <row r="67" spans="1:19" ht="13" x14ac:dyDescent="0.15">
      <c r="A67" s="14" t="str">
        <f ca="1">IFERROR(__xludf.DUMMYFUNCTION("""COMPUTED_VALUE"""),"LT")</f>
        <v>LT</v>
      </c>
      <c r="B67" s="54" t="str">
        <f ca="1">IFERROR(__xludf.DUMMYFUNCTION("""COMPUTED_VALUE"""),"https://osp.stat.gov.lt/statistiniu-rodikliu-analize?hash=b878641e-9978-470a-83ba-349c713ee4b1#/")</f>
        <v>https://osp.stat.gov.lt/statistiniu-rodikliu-analize?hash=b878641e-9978-470a-83ba-349c713ee4b1#/</v>
      </c>
      <c r="C67" s="14" t="str">
        <f ca="1">IFERROR(__xludf.DUMMYFUNCTION("""COMPUTED_VALUE"""),"co kwartał")</f>
        <v>co kwartał</v>
      </c>
      <c r="D67" s="14"/>
      <c r="E67" s="54" t="str">
        <f ca="1">IFERROR(__xludf.DUMMYFUNCTION("""COMPUTED_VALUE"""),"https://osp.stat.gov.lt/kalendoriai?expanded=true")</f>
        <v>https://osp.stat.gov.lt/kalendoriai?expanded=true</v>
      </c>
      <c r="F67" s="14"/>
      <c r="G67" s="54" t="str">
        <f ca="1">IFERROR(__xludf.DUMMYFUNCTION("""COMPUTED_VALUE"""),"https://www.robolabs.lt/ru_RU/atlyginimo_skaiciuokle")</f>
        <v>https://www.robolabs.lt/ru_RU/atlyginimo_skaiciuokle</v>
      </c>
      <c r="H67" s="14" t="str">
        <f ca="1">IFERROR(__xludf.DUMMYFUNCTION("""COMPUTED_VALUE"""),"Q2/2022")</f>
        <v>Q2/2022</v>
      </c>
      <c r="I67" s="14" t="str">
        <f ca="1">IFERROR(__xludf.DUMMYFUNCTION("""COMPUTED_VALUE"""),"monthly")</f>
        <v>monthly</v>
      </c>
      <c r="J67" s="14">
        <f ca="1">IFERROR(__xludf.DUMMYFUNCTION("""COMPUTED_VALUE"""),1780.5)</f>
        <v>1780.5</v>
      </c>
      <c r="K67" s="14" t="str">
        <f ca="1">IFERROR(__xludf.DUMMYFUNCTION("""COMPUTED_VALUE"""),"EUR")</f>
        <v>EUR</v>
      </c>
      <c r="L67" s="14">
        <f ca="1">IFERROR(__xludf.DUMMYFUNCTION("""COMPUTED_VALUE"""),1116.22)</f>
        <v>1116.22</v>
      </c>
      <c r="M67" s="14" t="str">
        <f ca="1">IFERROR(__xludf.DUMMYFUNCTION("""COMPUTED_VALUE"""),"EUR")</f>
        <v>EUR</v>
      </c>
      <c r="N67" s="14"/>
      <c r="O67" s="14" t="str">
        <f ca="1">IFERROR(__xludf.DUMMYFUNCTION("""COMPUTED_VALUE"""),"Q2/2021")</f>
        <v>Q2/2021</v>
      </c>
      <c r="P67" s="14">
        <f ca="1">IFERROR(__xludf.DUMMYFUNCTION("""COMPUTED_VALUE"""),1566.4)</f>
        <v>1566.4</v>
      </c>
      <c r="Q67" s="14"/>
      <c r="R67" s="14">
        <f ca="1">IFERROR(__xludf.DUMMYFUNCTION("""COMPUTED_VALUE"""),994.39)</f>
        <v>994.39</v>
      </c>
      <c r="S67" s="57">
        <f ca="1">IFERROR(__xludf.DUMMYFUNCTION("""COMPUTED_VALUE"""),0.122517322177415)</f>
        <v>0.122517322177415</v>
      </c>
    </row>
    <row r="68" spans="1:19" ht="13" x14ac:dyDescent="0.15">
      <c r="A68" s="14" t="str">
        <f ca="1">IFERROR(__xludf.DUMMYFUNCTION("""COMPUTED_VALUE"""),"LU")</f>
        <v>LU</v>
      </c>
      <c r="B68" s="54" t="str">
        <f ca="1">IFERROR(__xludf.DUMMYFUNCTION("""COMPUTED_VALUE"""),"https://lustat.statec.lu/vis?fs[0]=Topics%2C1%7CPopulation%20and%20employment%23B%23%7CLabour%20market%23B5%23&amp;pg=0&amp;fc=Topics&amp;lc=en&amp;tm=earnings&amp;df[ds]=release&amp;df[id]=DF_C1202&amp;df[ag]=LU1&amp;df[vs]=1.0&amp;pd=2015%2C2021&amp;dq=..A&amp;ly[rw]=NACE_REV2%2CGENDER&amp;ly[cl]=TIM"&amp;"E_PERIOD")</f>
        <v>https://lustat.statec.lu/vis?fs[0]=Topics%2C1%7CPopulation%20and%20employment%23B%23%7CLabour%20market%23B5%23&amp;pg=0&amp;fc=Topics&amp;lc=en&amp;tm=earnings&amp;df[ds]=release&amp;df[id]=DF_C1202&amp;df[ag]=LU1&amp;df[vs]=1.0&amp;pd=2015%2C2021&amp;dq=..A&amp;ly[rw]=NACE_REV2%2CGENDER&amp;ly[cl]=TIME_PERIOD</v>
      </c>
      <c r="C68" s="14" t="str">
        <f ca="1">IFERROR(__xludf.DUMMYFUNCTION("""COMPUTED_VALUE"""),"Tabela ""Average annual gross earnings by economic activity - Full-time-workers (in EUR)"" co roku")</f>
        <v>Tabela "Average annual gross earnings by economic activity - Full-time-workers (in EUR)" co roku</v>
      </c>
      <c r="D68" s="14"/>
      <c r="E68" s="54" t="str">
        <f ca="1">IFERROR(__xludf.DUMMYFUNCTION("""COMPUTED_VALUE"""),"https://statistiques.public.lu/en/agenda/calendrier-diffusion/index.html")</f>
        <v>https://statistiques.public.lu/en/agenda/calendrier-diffusion/index.html</v>
      </c>
      <c r="F68" s="14" t="str">
        <f ca="1">IFERROR(__xludf.DUMMYFUNCTION("""COMPUTED_VALUE"""),"Urząd Statystyczny")</f>
        <v>Urząd Statystyczny</v>
      </c>
      <c r="G68" s="54" t="str">
        <f ca="1">IFERROR(__xludf.DUMMYFUNCTION("""COMPUTED_VALUE"""),"https://salaryaftertax.com/lu/salary-calculator")</f>
        <v>https://salaryaftertax.com/lu/salary-calculator</v>
      </c>
      <c r="H68" s="14">
        <f ca="1">IFERROR(__xludf.DUMMYFUNCTION("""COMPUTED_VALUE"""),2021)</f>
        <v>2021</v>
      </c>
      <c r="I68" s="14" t="str">
        <f ca="1">IFERROR(__xludf.DUMMYFUNCTION("""COMPUTED_VALUE"""),"monthly")</f>
        <v>monthly</v>
      </c>
      <c r="J68" s="56">
        <f ca="1">IFERROR(__xludf.DUMMYFUNCTION("""COMPUTED_VALUE"""),5631.16666666666)</f>
        <v>5631.1666666666597</v>
      </c>
      <c r="K68" s="14" t="str">
        <f ca="1">IFERROR(__xludf.DUMMYFUNCTION("""COMPUTED_VALUE"""),"EUR")</f>
        <v>EUR</v>
      </c>
      <c r="L68" s="14">
        <f ca="1">IFERROR(__xludf.DUMMYFUNCTION("""COMPUTED_VALUE"""),3810)</f>
        <v>3810</v>
      </c>
      <c r="M68" s="14" t="str">
        <f ca="1">IFERROR(__xludf.DUMMYFUNCTION("""COMPUTED_VALUE"""),"EUR")</f>
        <v>EUR</v>
      </c>
      <c r="N68" s="14"/>
      <c r="O68" s="14">
        <f ca="1">IFERROR(__xludf.DUMMYFUNCTION("""COMPUTED_VALUE"""),2018)</f>
        <v>2018</v>
      </c>
      <c r="P68" s="14">
        <f ca="1">IFERROR(__xludf.DUMMYFUNCTION("""COMPUTED_VALUE"""),5411)</f>
        <v>5411</v>
      </c>
      <c r="Q68" s="14"/>
      <c r="R68" s="14">
        <f ca="1">IFERROR(__xludf.DUMMYFUNCTION("""COMPUTED_VALUE"""),3699)</f>
        <v>3699</v>
      </c>
      <c r="S68" s="57">
        <f ca="1">IFERROR(__xludf.DUMMYFUNCTION("""COMPUTED_VALUE"""),0.0300081103000811)</f>
        <v>3.00081103000811E-2</v>
      </c>
    </row>
    <row r="69" spans="1:19" ht="13" x14ac:dyDescent="0.15">
      <c r="A69" s="14" t="str">
        <f ca="1">IFERROR(__xludf.DUMMYFUNCTION("""COMPUTED_VALUE"""),"LV")</f>
        <v>LV</v>
      </c>
      <c r="B69" s="54" t="str">
        <f ca="1">IFERROR(__xludf.DUMMYFUNCTION("""COMPUTED_VALUE"""),"https://data.stat.gov.lv/pxweb/lv/OSP_PUB/START__EMP__DS__DSV/DSV010c/table/tableViewLayout1/")</f>
        <v>https://data.stat.gov.lv/pxweb/lv/OSP_PUB/START__EMP__DS__DSV/DSV010c/table/tableViewLayout1/</v>
      </c>
      <c r="C69" s="14" t="str">
        <f ca="1">IFERROR(__xludf.DUMMYFUNCTION("""COMPUTED_VALUE"""),"co miesiąc i co kwartał też")</f>
        <v>co miesiąc i co kwartał też</v>
      </c>
      <c r="D69" s="14"/>
      <c r="E69" s="14" t="str">
        <f ca="1">IFERROR(__xludf.DUMMYFUNCTION("""COMPUTED_VALUE"""),"od marca 2021 nowa strona")</f>
        <v>od marca 2021 nowa strona</v>
      </c>
      <c r="F69" s="14" t="str">
        <f ca="1">IFERROR(__xludf.DUMMYFUNCTION("""COMPUTED_VALUE"""),"Urząd Statystyczny")</f>
        <v>Urząd Statystyczny</v>
      </c>
      <c r="G69" s="14" t="str">
        <f ca="1">IFERROR(__xludf.DUMMYFUNCTION("""COMPUTED_VALUE"""),"netto i brutto podaje biuro statystyczne")</f>
        <v>netto i brutto podaje biuro statystyczne</v>
      </c>
      <c r="H69" s="14" t="str">
        <f ca="1">IFERROR(__xludf.DUMMYFUNCTION("""COMPUTED_VALUE"""),"Q2/2022")</f>
        <v>Q2/2022</v>
      </c>
      <c r="I69" s="14" t="str">
        <f ca="1">IFERROR(__xludf.DUMMYFUNCTION("""COMPUTED_VALUE"""),"monthly")</f>
        <v>monthly</v>
      </c>
      <c r="J69" s="14">
        <f ca="1">IFERROR(__xludf.DUMMYFUNCTION("""COMPUTED_VALUE"""),1362)</f>
        <v>1362</v>
      </c>
      <c r="K69" s="14" t="str">
        <f ca="1">IFERROR(__xludf.DUMMYFUNCTION("""COMPUTED_VALUE"""),"EUR")</f>
        <v>EUR</v>
      </c>
      <c r="L69" s="14">
        <f ca="1">IFERROR(__xludf.DUMMYFUNCTION("""COMPUTED_VALUE"""),997)</f>
        <v>997</v>
      </c>
      <c r="M69" s="14" t="str">
        <f ca="1">IFERROR(__xludf.DUMMYFUNCTION("""COMPUTED_VALUE"""),"EUR")</f>
        <v>EUR</v>
      </c>
      <c r="N69" s="14"/>
      <c r="O69" s="14" t="str">
        <f ca="1">IFERROR(__xludf.DUMMYFUNCTION("""COMPUTED_VALUE"""),"Q2/2021")</f>
        <v>Q2/2021</v>
      </c>
      <c r="P69" s="14">
        <f ca="1">IFERROR(__xludf.DUMMYFUNCTION("""COMPUTED_VALUE"""),1237)</f>
        <v>1237</v>
      </c>
      <c r="Q69" s="14"/>
      <c r="R69" s="14">
        <f ca="1">IFERROR(__xludf.DUMMYFUNCTION("""COMPUTED_VALUE"""),914)</f>
        <v>914</v>
      </c>
      <c r="S69" s="57">
        <f ca="1">IFERROR(__xludf.DUMMYFUNCTION("""COMPUTED_VALUE"""),0.0908096280087527)</f>
        <v>9.0809628008752696E-2</v>
      </c>
    </row>
    <row r="70" spans="1:19" ht="13" x14ac:dyDescent="0.15">
      <c r="A70" s="14" t="str">
        <f ca="1">IFERROR(__xludf.DUMMYFUNCTION("""COMPUTED_VALUE"""),"MD")</f>
        <v>MD</v>
      </c>
      <c r="B70" s="54" t="str">
        <f ca="1">IFERROR(__xludf.DUMMYFUNCTION("""COMPUTED_VALUE"""),"https://statbank.statistica.md/PxWeb/pxweb/en/30%20Statistica%20sociala/30%20Statistica%20sociala__03%20FM__SAL010__serii%20lunare/SAL014900.px/table/tableViewLayout1/?rxid=6d7450f9-5bd0-45b1-ac5f-5ccaee5f48bc")</f>
        <v>https://statbank.statistica.md/PxWeb/pxweb/en/30%20Statistica%20sociala/30%20Statistica%20sociala__03%20FM__SAL010__serii%20lunare/SAL014900.px/table/tableViewLayout1/?rxid=6d7450f9-5bd0-45b1-ac5f-5ccaee5f48bc</v>
      </c>
      <c r="C70" s="14" t="str">
        <f ca="1">IFERROR(__xludf.DUMMYFUNCTION("""COMPUTED_VALUE"""),"co kwarał")</f>
        <v>co kwarał</v>
      </c>
      <c r="D70" s="14"/>
      <c r="E70" s="14"/>
      <c r="F70" s="14" t="str">
        <f ca="1">IFERROR(__xludf.DUMMYFUNCTION("""COMPUTED_VALUE"""),"Urząd Statystyczny")</f>
        <v>Urząd Statystyczny</v>
      </c>
      <c r="G70" s="54" t="str">
        <f ca="1">IFERROR(__xludf.DUMMYFUNCTION("""COMPUTED_VALUE"""),"https://salarii.md/")</f>
        <v>https://salarii.md/</v>
      </c>
      <c r="H70" s="14" t="str">
        <f ca="1">IFERROR(__xludf.DUMMYFUNCTION("""COMPUTED_VALUE"""),"Q1/2022")</f>
        <v>Q1/2022</v>
      </c>
      <c r="I70" s="14" t="str">
        <f ca="1">IFERROR(__xludf.DUMMYFUNCTION("""COMPUTED_VALUE"""),"monthly")</f>
        <v>monthly</v>
      </c>
      <c r="J70" s="56">
        <f ca="1">IFERROR(__xludf.DUMMYFUNCTION("""COMPUTED_VALUE"""),10376.2)</f>
        <v>10376.200000000001</v>
      </c>
      <c r="K70" s="14" t="str">
        <f ca="1">IFERROR(__xludf.DUMMYFUNCTION("""COMPUTED_VALUE"""),"MDL")</f>
        <v>MDL</v>
      </c>
      <c r="L70" s="14">
        <f ca="1">IFERROR(__xludf.DUMMYFUNCTION("""COMPUTED_VALUE"""),8309.26)</f>
        <v>8309.26</v>
      </c>
      <c r="M70" s="14" t="str">
        <f ca="1">IFERROR(__xludf.DUMMYFUNCTION("""COMPUTED_VALUE"""),"MDL")</f>
        <v>MDL</v>
      </c>
      <c r="N70" s="14"/>
      <c r="O70" s="14" t="str">
        <f ca="1">IFERROR(__xludf.DUMMYFUNCTION("""COMPUTED_VALUE"""),"Q2/2021")</f>
        <v>Q2/2021</v>
      </c>
      <c r="P70" s="14">
        <f ca="1">IFERROR(__xludf.DUMMYFUNCTION("""COMPUTED_VALUE"""),9044.5)</f>
        <v>9044.5</v>
      </c>
      <c r="Q70" s="14"/>
      <c r="R70" s="14">
        <f ca="1">IFERROR(__xludf.DUMMYFUNCTION("""COMPUTED_VALUE"""),7242.83)</f>
        <v>7242.83</v>
      </c>
      <c r="S70" s="57">
        <f ca="1">IFERROR(__xludf.DUMMYFUNCTION("""COMPUTED_VALUE"""),0.147239407800542)</f>
        <v>0.14723940780054201</v>
      </c>
    </row>
    <row r="71" spans="1:19" ht="13" x14ac:dyDescent="0.15">
      <c r="A71" s="14" t="str">
        <f ca="1">IFERROR(__xludf.DUMMYFUNCTION("""COMPUTED_VALUE"""),"ME")</f>
        <v>ME</v>
      </c>
      <c r="B71" s="54" t="str">
        <f ca="1">IFERROR(__xludf.DUMMYFUNCTION("""COMPUTED_VALUE"""),"http://monstat.org/eng/page.php?id=1763&amp;pageid=24")</f>
        <v>http://monstat.org/eng/page.php?id=1763&amp;pageid=24</v>
      </c>
      <c r="C71" s="14" t="str">
        <f ca="1">IFERROR(__xludf.DUMMYFUNCTION("""COMPUTED_VALUE"""),"co miesiąc")</f>
        <v>co miesiąc</v>
      </c>
      <c r="D71" s="14" t="str">
        <f ca="1">IFERROR(__xludf.DUMMYFUNCTION("""COMPUTED_VALUE"""),"pod koniec każdego miesiąca są dane za miesiąc do tyłu (np. pod koniec sierpnia dane za lipiec)")</f>
        <v>pod koniec każdego miesiąca są dane za miesiąc do tyłu (np. pod koniec sierpnia dane za lipiec)</v>
      </c>
      <c r="E71" s="54" t="str">
        <f ca="1">IFERROR(__xludf.DUMMYFUNCTION("""COMPUTED_VALUE"""),"http://monstat.org/eng/index.php")</f>
        <v>http://monstat.org/eng/index.php</v>
      </c>
      <c r="F71" s="14" t="str">
        <f ca="1">IFERROR(__xludf.DUMMYFUNCTION("""COMPUTED_VALUE"""),"Urząd Statystyczny")</f>
        <v>Urząd Statystyczny</v>
      </c>
      <c r="G71" s="14" t="str">
        <f ca="1">IFERROR(__xludf.DUMMYFUNCTION("""COMPUTED_VALUE"""),"urząd podaje brutto i netto")</f>
        <v>urząd podaje brutto i netto</v>
      </c>
      <c r="H71" s="14" t="str">
        <f ca="1">IFERROR(__xludf.DUMMYFUNCTION("""COMPUTED_VALUE"""),"July 2022")</f>
        <v>July 2022</v>
      </c>
      <c r="I71" s="14" t="str">
        <f ca="1">IFERROR(__xludf.DUMMYFUNCTION("""COMPUTED_VALUE"""),"monthly")</f>
        <v>monthly</v>
      </c>
      <c r="J71" s="14">
        <f ca="1">IFERROR(__xludf.DUMMYFUNCTION("""COMPUTED_VALUE"""),881)</f>
        <v>881</v>
      </c>
      <c r="K71" s="14" t="str">
        <f ca="1">IFERROR(__xludf.DUMMYFUNCTION("""COMPUTED_VALUE"""),"EUR")</f>
        <v>EUR</v>
      </c>
      <c r="L71" s="14">
        <f ca="1">IFERROR(__xludf.DUMMYFUNCTION("""COMPUTED_VALUE"""),714)</f>
        <v>714</v>
      </c>
      <c r="M71" s="14" t="str">
        <f ca="1">IFERROR(__xludf.DUMMYFUNCTION("""COMPUTED_VALUE"""),"EUR")</f>
        <v>EUR</v>
      </c>
      <c r="N71" s="14"/>
      <c r="O71" s="14" t="str">
        <f ca="1">IFERROR(__xludf.DUMMYFUNCTION("""COMPUTED_VALUE"""),"July 2021")</f>
        <v>July 2021</v>
      </c>
      <c r="P71" s="14">
        <f ca="1">IFERROR(__xludf.DUMMYFUNCTION("""COMPUTED_VALUE"""),791)</f>
        <v>791</v>
      </c>
      <c r="Q71" s="14"/>
      <c r="R71" s="14">
        <f ca="1">IFERROR(__xludf.DUMMYFUNCTION("""COMPUTED_VALUE"""),530)</f>
        <v>530</v>
      </c>
      <c r="S71" s="57">
        <f ca="1">IFERROR(__xludf.DUMMYFUNCTION("""COMPUTED_VALUE"""),0.347169811320754)</f>
        <v>0.34716981132075397</v>
      </c>
    </row>
    <row r="72" spans="1:19" ht="13" x14ac:dyDescent="0.15">
      <c r="A72" s="14" t="str">
        <f ca="1">IFERROR(__xludf.DUMMYFUNCTION("""COMPUTED_VALUE"""),"MG")</f>
        <v>MG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57" t="str">
        <f ca="1">IFERROR(__xludf.DUMMYFUNCTION("""COMPUTED_VALUE"""),"")</f>
        <v/>
      </c>
    </row>
    <row r="73" spans="1:19" ht="13" x14ac:dyDescent="0.15">
      <c r="A73" s="14" t="str">
        <f ca="1">IFERROR(__xludf.DUMMYFUNCTION("""COMPUTED_VALUE"""),"MK")</f>
        <v>MK</v>
      </c>
      <c r="B73" s="54" t="str">
        <f ca="1">IFERROR(__xludf.DUMMYFUNCTION("""COMPUTED_VALUE"""),"http://www.stat.gov.mk/Default_en.aspx")</f>
        <v>http://www.stat.gov.mk/Default_en.aspx</v>
      </c>
      <c r="C73" s="14" t="str">
        <f ca="1">IFERROR(__xludf.DUMMYFUNCTION("""COMPUTED_VALUE"""),"co miesiąc")</f>
        <v>co miesiąc</v>
      </c>
      <c r="D73" s="14"/>
      <c r="E73" s="14"/>
      <c r="F73" s="14" t="str">
        <f ca="1">IFERROR(__xludf.DUMMYFUNCTION("""COMPUTED_VALUE"""),"Urząd Statystyczny")</f>
        <v>Urząd Statystyczny</v>
      </c>
      <c r="G73" s="14" t="str">
        <f ca="1">IFERROR(__xludf.DUMMYFUNCTION("""COMPUTED_VALUE"""),"urząd podaje brutto i netto")</f>
        <v>urząd podaje brutto i netto</v>
      </c>
      <c r="H73" s="14" t="str">
        <f ca="1">IFERROR(__xludf.DUMMYFUNCTION("""COMPUTED_VALUE"""),"June 2022")</f>
        <v>June 2022</v>
      </c>
      <c r="I73" s="14" t="str">
        <f ca="1">IFERROR(__xludf.DUMMYFUNCTION("""COMPUTED_VALUE"""),"monthly")</f>
        <v>monthly</v>
      </c>
      <c r="J73" s="14">
        <f ca="1">IFERROR(__xludf.DUMMYFUNCTION("""COMPUTED_VALUE"""),46634)</f>
        <v>46634</v>
      </c>
      <c r="K73" s="14" t="str">
        <f ca="1">IFERROR(__xludf.DUMMYFUNCTION("""COMPUTED_VALUE"""),"MKD")</f>
        <v>MKD</v>
      </c>
      <c r="L73" s="14">
        <f ca="1">IFERROR(__xludf.DUMMYFUNCTION("""COMPUTED_VALUE"""),31869)</f>
        <v>31869</v>
      </c>
      <c r="M73" s="14" t="str">
        <f ca="1">IFERROR(__xludf.DUMMYFUNCTION("""COMPUTED_VALUE"""),"MKD")</f>
        <v>MKD</v>
      </c>
      <c r="N73" s="14"/>
      <c r="O73" s="14" t="str">
        <f ca="1">IFERROR(__xludf.DUMMYFUNCTION("""COMPUTED_VALUE"""),"July 2021")</f>
        <v>July 2021</v>
      </c>
      <c r="P73" s="14">
        <f ca="1">IFERROR(__xludf.DUMMYFUNCTION("""COMPUTED_VALUE"""),42627)</f>
        <v>42627</v>
      </c>
      <c r="Q73" s="14"/>
      <c r="R73" s="14">
        <f ca="1">IFERROR(__xludf.DUMMYFUNCTION("""COMPUTED_VALUE"""),28540)</f>
        <v>28540</v>
      </c>
      <c r="S73" s="57">
        <f ca="1">IFERROR(__xludf.DUMMYFUNCTION("""COMPUTED_VALUE"""),0.116643307638402)</f>
        <v>0.116643307638402</v>
      </c>
    </row>
    <row r="74" spans="1:19" ht="13" x14ac:dyDescent="0.15">
      <c r="A74" s="14" t="str">
        <f ca="1">IFERROR(__xludf.DUMMYFUNCTION("""COMPUTED_VALUE"""),"MT")</f>
        <v>MT</v>
      </c>
      <c r="B74" s="54" t="str">
        <f ca="1">IFERROR(__xludf.DUMMYFUNCTION("""COMPUTED_VALUE"""),"https://nso.gov.mt/en/News_Releases/View_by_Unit/Unit_C2/Labour_Market_Statistics/Pages/Labour-Force-Survey.aspx")</f>
        <v>https://nso.gov.mt/en/News_Releases/View_by_Unit/Unit_C2/Labour_Market_Statistics/Pages/Labour-Force-Survey.aspx</v>
      </c>
      <c r="C74" s="14" t="str">
        <f ca="1">IFERROR(__xludf.DUMMYFUNCTION("""COMPUTED_VALUE"""),"co kwartał")</f>
        <v>co kwartał</v>
      </c>
      <c r="D74" s="14" t="str">
        <f ca="1">IFERROR(__xludf.DUMMYFUNCTION("""COMPUTED_VALUE"""),"pod koniec września")</f>
        <v>pod koniec września</v>
      </c>
      <c r="E74" s="14"/>
      <c r="F74" s="14" t="str">
        <f ca="1">IFERROR(__xludf.DUMMYFUNCTION("""COMPUTED_VALUE"""),"Urząd Statystyczny")</f>
        <v>Urząd Statystyczny</v>
      </c>
      <c r="G74" s="54" t="str">
        <f ca="1">IFERROR(__xludf.DUMMYFUNCTION("""COMPUTED_VALUE"""),"http://maltasalary.com/")</f>
        <v>http://maltasalary.com/</v>
      </c>
      <c r="H74" s="14" t="str">
        <f ca="1">IFERROR(__xludf.DUMMYFUNCTION("""COMPUTED_VALUE"""),"Q1/2022")</f>
        <v>Q1/2022</v>
      </c>
      <c r="I74" s="14" t="str">
        <f ca="1">IFERROR(__xludf.DUMMYFUNCTION("""COMPUTED_VALUE"""),"monthly")</f>
        <v>monthly</v>
      </c>
      <c r="J74" s="14">
        <f ca="1">IFERROR(__xludf.DUMMYFUNCTION("""COMPUTED_VALUE"""),1706)</f>
        <v>1706</v>
      </c>
      <c r="K74" s="14" t="str">
        <f ca="1">IFERROR(__xludf.DUMMYFUNCTION("""COMPUTED_VALUE"""),"EUR")</f>
        <v>EUR</v>
      </c>
      <c r="L74" s="14">
        <f ca="1">IFERROR(__xludf.DUMMYFUNCTION("""COMPUTED_VALUE"""),1335.98)</f>
        <v>1335.98</v>
      </c>
      <c r="M74" s="14" t="str">
        <f ca="1">IFERROR(__xludf.DUMMYFUNCTION("""COMPUTED_VALUE"""),"EUR")</f>
        <v>EUR</v>
      </c>
      <c r="N74" s="14"/>
      <c r="O74" s="14" t="str">
        <f ca="1">IFERROR(__xludf.DUMMYFUNCTION("""COMPUTED_VALUE"""),"Q1/2021")</f>
        <v>Q1/2021</v>
      </c>
      <c r="P74" s="14">
        <f ca="1">IFERROR(__xludf.DUMMYFUNCTION("""COMPUTED_VALUE"""),1597)</f>
        <v>1597</v>
      </c>
      <c r="Q74" s="14"/>
      <c r="R74" s="14">
        <f ca="1">IFERROR(__xludf.DUMMYFUNCTION("""COMPUTED_VALUE"""),1265.13)</f>
        <v>1265.1300000000001</v>
      </c>
      <c r="S74" s="57">
        <f ca="1">IFERROR(__xludf.DUMMYFUNCTION("""COMPUTED_VALUE"""),0.056002149976682)</f>
        <v>5.6002149976682E-2</v>
      </c>
    </row>
    <row r="75" spans="1:19" ht="13" x14ac:dyDescent="0.15">
      <c r="A75" s="14" t="str">
        <f ca="1">IFERROR(__xludf.DUMMYFUNCTION("""COMPUTED_VALUE"""),"MU")</f>
        <v>MU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57" t="str">
        <f ca="1">IFERROR(__xludf.DUMMYFUNCTION("""COMPUTED_VALUE"""),"")</f>
        <v/>
      </c>
    </row>
    <row r="76" spans="1:19" ht="13" x14ac:dyDescent="0.15">
      <c r="A76" s="14" t="str">
        <f ca="1">IFERROR(__xludf.DUMMYFUNCTION("""COMPUTED_VALUE"""),"MX")</f>
        <v>MX</v>
      </c>
      <c r="B76" s="54" t="str">
        <f ca="1">IFERROR(__xludf.DUMMYFUNCTION("""COMPUTED_VALUE"""),"https://www.observatoriolaboral.gob.mx/static/estudios-publicaciones/Tendencias_empleo.html")</f>
        <v>https://www.observatoriolaboral.gob.mx/static/estudios-publicaciones/Tendencias_empleo.html</v>
      </c>
      <c r="C76" s="14" t="str">
        <f ca="1">IFERROR(__xludf.DUMMYFUNCTION("""COMPUTED_VALUE"""),"co kwartał?")</f>
        <v>co kwartał?</v>
      </c>
      <c r="D76" s="14"/>
      <c r="E76" s="14" t="str">
        <f ca="1">IFERROR(__xludf.DUMMYFUNCTION("""COMPUTED_VALUE"""),"brak")</f>
        <v>brak</v>
      </c>
      <c r="F76" s="14" t="str">
        <f ca="1">IFERROR(__xludf.DUMMYFUNCTION("""COMPUTED_VALUE"""),"Ministerstwo Pracy")</f>
        <v>Ministerstwo Pracy</v>
      </c>
      <c r="G76" s="54" t="str">
        <f ca="1">IFERROR(__xludf.DUMMYFUNCTION("""COMPUTED_VALUE"""),"https://isrmatic.com/")</f>
        <v>https://isrmatic.com/</v>
      </c>
      <c r="H76" s="14" t="str">
        <f ca="1">IFERROR(__xludf.DUMMYFUNCTION("""COMPUTED_VALUE"""),"Q3 2021")</f>
        <v>Q3 2021</v>
      </c>
      <c r="I76" s="14" t="str">
        <f ca="1">IFERROR(__xludf.DUMMYFUNCTION("""COMPUTED_VALUE"""),"monthly")</f>
        <v>monthly</v>
      </c>
      <c r="J76" s="14">
        <f ca="1">IFERROR(__xludf.DUMMYFUNCTION("""COMPUTED_VALUE"""),12931)</f>
        <v>12931</v>
      </c>
      <c r="K76" s="14" t="str">
        <f ca="1">IFERROR(__xludf.DUMMYFUNCTION("""COMPUTED_VALUE"""),"MXN")</f>
        <v>MXN</v>
      </c>
      <c r="L76" s="14">
        <f ca="1">IFERROR(__xludf.DUMMYFUNCTION("""COMPUTED_VALUE"""),11594.61)</f>
        <v>11594.61</v>
      </c>
      <c r="M76" s="14" t="str">
        <f ca="1">IFERROR(__xludf.DUMMYFUNCTION("""COMPUTED_VALUE"""),"MXN")</f>
        <v>MXN</v>
      </c>
      <c r="N76" s="14"/>
      <c r="O76" s="14" t="str">
        <f ca="1">IFERROR(__xludf.DUMMYFUNCTION("""COMPUTED_VALUE"""),"Q4 2020")</f>
        <v>Q4 2020</v>
      </c>
      <c r="P76" s="14">
        <f ca="1">IFERROR(__xludf.DUMMYFUNCTION("""COMPUTED_VALUE"""),12298)</f>
        <v>12298</v>
      </c>
      <c r="Q76" s="14"/>
      <c r="R76" s="14">
        <f ca="1">IFERROR(__xludf.DUMMYFUNCTION("""COMPUTED_VALUE"""),11075.04)</f>
        <v>11075.04</v>
      </c>
      <c r="S76" s="57">
        <f ca="1">IFERROR(__xludf.DUMMYFUNCTION("""COMPUTED_VALUE"""),0.0469136003120529)</f>
        <v>4.6913600312052897E-2</v>
      </c>
    </row>
    <row r="77" spans="1:19" ht="13" x14ac:dyDescent="0.15">
      <c r="A77" s="14" t="str">
        <f ca="1">IFERROR(__xludf.DUMMYFUNCTION("""COMPUTED_VALUE"""),"MY")</f>
        <v>MY</v>
      </c>
      <c r="B77" s="54" t="str">
        <f ca="1">IFERROR(__xludf.DUMMYFUNCTION("""COMPUTED_VALUE"""),"https://www.dosm.gov.my/v1/index.php?r=column/cthemeByCat&amp;cat=157&amp;bul_id=VDRDc0pGZHpieEUwMDNFWHVHSnpkdz09&amp;menu_id=Tm8zcnRjdVRNWWlpWjRlbmtlaDk1UT09")</f>
        <v>https://www.dosm.gov.my/v1/index.php?r=column/cthemeByCat&amp;cat=157&amp;bul_id=VDRDc0pGZHpieEUwMDNFWHVHSnpkdz09&amp;menu_id=Tm8zcnRjdVRNWWlpWjRlbmtlaDk1UT09</v>
      </c>
      <c r="C77" s="14"/>
      <c r="D77" s="14"/>
      <c r="E77" s="14"/>
      <c r="F77" s="14" t="str">
        <f ca="1">IFERROR(__xludf.DUMMYFUNCTION("""COMPUTED_VALUE"""),"numbeo")</f>
        <v>numbeo</v>
      </c>
      <c r="G77" s="14"/>
      <c r="H77" s="14" t="str">
        <f ca="1">IFERROR(__xludf.DUMMYFUNCTION("""COMPUTED_VALUE"""),"September 2022")</f>
        <v>September 2022</v>
      </c>
      <c r="I77" s="14" t="str">
        <f ca="1">IFERROR(__xludf.DUMMYFUNCTION("""COMPUTED_VALUE"""),"monthly")</f>
        <v>monthly</v>
      </c>
      <c r="J77" s="14"/>
      <c r="K77" s="14"/>
      <c r="L77" s="14">
        <f ca="1">IFERROR(__xludf.DUMMYFUNCTION("""COMPUTED_VALUE"""),3810)</f>
        <v>3810</v>
      </c>
      <c r="M77" s="14" t="str">
        <f ca="1">IFERROR(__xludf.DUMMYFUNCTION("""COMPUTED_VALUE"""),"MYR")</f>
        <v>MYR</v>
      </c>
      <c r="N77" s="14"/>
      <c r="O77" s="14" t="str">
        <f ca="1">IFERROR(__xludf.DUMMYFUNCTION("""COMPUTED_VALUE"""),"September 2021")</f>
        <v>September 2021</v>
      </c>
      <c r="P77" s="14"/>
      <c r="Q77" s="14"/>
      <c r="R77" s="14">
        <f ca="1">IFERROR(__xludf.DUMMYFUNCTION("""COMPUTED_VALUE"""),3399.17)</f>
        <v>3399.17</v>
      </c>
      <c r="S77" s="57">
        <f ca="1">IFERROR(__xludf.DUMMYFUNCTION("""COMPUTED_VALUE"""),0.120861857453437)</f>
        <v>0.120861857453437</v>
      </c>
    </row>
    <row r="78" spans="1:19" ht="13" x14ac:dyDescent="0.15">
      <c r="A78" s="14" t="str">
        <f ca="1">IFERROR(__xludf.DUMMYFUNCTION("""COMPUTED_VALUE"""),"NA")</f>
        <v>NA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57" t="str">
        <f ca="1">IFERROR(__xludf.DUMMYFUNCTION("""COMPUTED_VALUE"""),"")</f>
        <v/>
      </c>
    </row>
    <row r="79" spans="1:19" ht="13" x14ac:dyDescent="0.15">
      <c r="A79" s="14" t="str">
        <f ca="1">IFERROR(__xludf.DUMMYFUNCTION("""COMPUTED_VALUE"""),"NG")</f>
        <v>NG</v>
      </c>
      <c r="B79" s="54" t="str">
        <f ca="1">IFERROR(__xludf.DUMMYFUNCTION("""COMPUTED_VALUE"""),"https://www.numbeo.com/cost-of-living/country_result.jsp?country=Nigeria")</f>
        <v>https://www.numbeo.com/cost-of-living/country_result.jsp?country=Nigeria</v>
      </c>
      <c r="C79" s="14"/>
      <c r="D79" s="14" t="str">
        <f ca="1">IFERROR(__xludf.DUMMYFUNCTION("""COMPUTED_VALUE"""),"June 2022")</f>
        <v>June 2022</v>
      </c>
      <c r="E79" s="14"/>
      <c r="F79" s="14" t="str">
        <f ca="1">IFERROR(__xludf.DUMMYFUNCTION("""COMPUTED_VALUE"""),"numbeo")</f>
        <v>numbeo</v>
      </c>
      <c r="G79" s="14"/>
      <c r="H79" s="14" t="str">
        <f ca="1">IFERROR(__xludf.DUMMYFUNCTION("""COMPUTED_VALUE"""),"September 2022")</f>
        <v>September 2022</v>
      </c>
      <c r="I79" s="14" t="str">
        <f ca="1">IFERROR(__xludf.DUMMYFUNCTION("""COMPUTED_VALUE"""),"monthly")</f>
        <v>monthly</v>
      </c>
      <c r="J79" s="14"/>
      <c r="K79" s="14"/>
      <c r="L79" s="14">
        <f ca="1">IFERROR(__xludf.DUMMYFUNCTION("""COMPUTED_VALUE"""),70791)</f>
        <v>70791</v>
      </c>
      <c r="M79" s="14" t="str">
        <f ca="1">IFERROR(__xludf.DUMMYFUNCTION("""COMPUTED_VALUE"""),"NGN")</f>
        <v>NGN</v>
      </c>
      <c r="N79" s="14"/>
      <c r="O79" s="14" t="str">
        <f ca="1">IFERROR(__xludf.DUMMYFUNCTION("""COMPUTED_VALUE"""),"September 2021")</f>
        <v>September 2021</v>
      </c>
      <c r="P79" s="14"/>
      <c r="Q79" s="14"/>
      <c r="R79" s="14">
        <f ca="1">IFERROR(__xludf.DUMMYFUNCTION("""COMPUTED_VALUE"""),71549.83)</f>
        <v>71549.83</v>
      </c>
      <c r="S79" s="57">
        <f ca="1">IFERROR(__xludf.DUMMYFUNCTION("""COMPUTED_VALUE"""),-0.0106056156946844)</f>
        <v>-1.0605615694684401E-2</v>
      </c>
    </row>
    <row r="80" spans="1:19" ht="13" x14ac:dyDescent="0.15">
      <c r="A80" s="14" t="str">
        <f ca="1">IFERROR(__xludf.DUMMYFUNCTION("""COMPUTED_VALUE"""),"NI")</f>
        <v>NI</v>
      </c>
      <c r="B80" s="54" t="str">
        <f ca="1">IFERROR(__xludf.DUMMYFUNCTION("""COMPUTED_VALUE"""),"https://www.numbeo.com/cost-of-living/country_result.jsp?country=Nicaragua&amp;displayCurrency=NIO")</f>
        <v>https://www.numbeo.com/cost-of-living/country_result.jsp?country=Nicaragua&amp;displayCurrency=NIO</v>
      </c>
      <c r="C80" s="14"/>
      <c r="D80" s="14"/>
      <c r="E80" s="14"/>
      <c r="F80" s="14" t="str">
        <f ca="1">IFERROR(__xludf.DUMMYFUNCTION("""COMPUTED_VALUE"""),"numbeo")</f>
        <v>numbeo</v>
      </c>
      <c r="G80" s="14"/>
      <c r="H80" s="14" t="str">
        <f ca="1">IFERROR(__xludf.DUMMYFUNCTION("""COMPUTED_VALUE"""),"September 2022")</f>
        <v>September 2022</v>
      </c>
      <c r="I80" s="14" t="str">
        <f ca="1">IFERROR(__xludf.DUMMYFUNCTION("""COMPUTED_VALUE"""),"monthly")</f>
        <v>monthly</v>
      </c>
      <c r="J80" s="14"/>
      <c r="K80" s="14"/>
      <c r="L80" s="14">
        <f ca="1">IFERROR(__xludf.DUMMYFUNCTION("""COMPUTED_VALUE"""),10374.11)</f>
        <v>10374.11</v>
      </c>
      <c r="M80" s="14" t="str">
        <f ca="1">IFERROR(__xludf.DUMMYFUNCTION("""COMPUTED_VALUE"""),"NIO")</f>
        <v>NIO</v>
      </c>
      <c r="N80" s="14"/>
      <c r="O80" s="14" t="str">
        <f ca="1">IFERROR(__xludf.DUMMYFUNCTION("""COMPUTED_VALUE"""),"December 2021")</f>
        <v>December 2021</v>
      </c>
      <c r="P80" s="14"/>
      <c r="Q80" s="14"/>
      <c r="R80" s="14">
        <f ca="1">IFERROR(__xludf.DUMMYFUNCTION("""COMPUTED_VALUE"""),9372)</f>
        <v>9372</v>
      </c>
      <c r="S80" s="57">
        <f ca="1">IFERROR(__xludf.DUMMYFUNCTION("""COMPUTED_VALUE"""),0.106925949637217)</f>
        <v>0.10692594963721699</v>
      </c>
    </row>
    <row r="81" spans="1:19" ht="13" x14ac:dyDescent="0.15">
      <c r="A81" s="14" t="str">
        <f ca="1">IFERROR(__xludf.DUMMYFUNCTION("""COMPUTED_VALUE"""),"NL")</f>
        <v>NL</v>
      </c>
      <c r="B81" s="54" t="str">
        <f ca="1">IFERROR(__xludf.DUMMYFUNCTION("""COMPUTED_VALUE"""),"https://www.cpb.nl/sites/default/files/omnidownload/CPB-Kerngegevenstabel-juniraming-2021.pdf")</f>
        <v>https://www.cpb.nl/sites/default/files/omnidownload/CPB-Kerngegevenstabel-juniraming-2021.pdf</v>
      </c>
      <c r="C81" s="14" t="str">
        <f ca="1">IFERROR(__xludf.DUMMYFUNCTION("""COMPUTED_VALUE"""),"raz do roku")</f>
        <v>raz do roku</v>
      </c>
      <c r="D81" s="14"/>
      <c r="E81" s="14"/>
      <c r="F81" s="14" t="str">
        <f ca="1">IFERROR(__xludf.DUMMYFUNCTION("""COMPUTED_VALUE"""),"Urząd Statystyczny")</f>
        <v>Urząd Statystyczny</v>
      </c>
      <c r="G81" s="54" t="str">
        <f ca="1">IFERROR(__xludf.DUMMYFUNCTION("""COMPUTED_VALUE"""),"https://thetax.nl/?year=2022&amp;startFrom=Year&amp;salary=38000&amp;allowance=0&amp;socialSecurity=1&amp;retired=0&amp;ruling=0&amp;rulingChoice=normal")</f>
        <v>https://thetax.nl/?year=2022&amp;startFrom=Year&amp;salary=38000&amp;allowance=0&amp;socialSecurity=1&amp;retired=0&amp;ruling=0&amp;rulingChoice=normal</v>
      </c>
      <c r="H81" s="14">
        <f ca="1">IFERROR(__xludf.DUMMYFUNCTION("""COMPUTED_VALUE"""),2022)</f>
        <v>2022</v>
      </c>
      <c r="I81" s="14" t="str">
        <f ca="1">IFERROR(__xludf.DUMMYFUNCTION("""COMPUTED_VALUE"""),"monthly")</f>
        <v>monthly</v>
      </c>
      <c r="J81" s="14">
        <f ca="1">IFERROR(__xludf.DUMMYFUNCTION("""COMPUTED_VALUE"""),2816)</f>
        <v>2816</v>
      </c>
      <c r="K81" s="14" t="str">
        <f ca="1">IFERROR(__xludf.DUMMYFUNCTION("""COMPUTED_VALUE"""),"EUR")</f>
        <v>EUR</v>
      </c>
      <c r="L81" s="14">
        <f ca="1">IFERROR(__xludf.DUMMYFUNCTION("""COMPUTED_VALUE"""),2498)</f>
        <v>2498</v>
      </c>
      <c r="M81" s="14" t="str">
        <f ca="1">IFERROR(__xludf.DUMMYFUNCTION("""COMPUTED_VALUE"""),"EUR")</f>
        <v>EUR</v>
      </c>
      <c r="N81" s="14"/>
      <c r="O81" s="14">
        <f ca="1">IFERROR(__xludf.DUMMYFUNCTION("""COMPUTED_VALUE"""),2021)</f>
        <v>2021</v>
      </c>
      <c r="P81" s="14">
        <f ca="1">IFERROR(__xludf.DUMMYFUNCTION("""COMPUTED_VALUE"""),2816)</f>
        <v>2816</v>
      </c>
      <c r="Q81" s="14"/>
      <c r="R81" s="14">
        <f ca="1">IFERROR(__xludf.DUMMYFUNCTION("""COMPUTED_VALUE"""),2367)</f>
        <v>2367</v>
      </c>
      <c r="S81" s="57">
        <f ca="1">IFERROR(__xludf.DUMMYFUNCTION("""COMPUTED_VALUE"""),0.055344317701732)</f>
        <v>5.5344317701732003E-2</v>
      </c>
    </row>
    <row r="82" spans="1:19" ht="13" x14ac:dyDescent="0.15">
      <c r="A82" s="14" t="str">
        <f ca="1">IFERROR(__xludf.DUMMYFUNCTION("""COMPUTED_VALUE"""),"NO")</f>
        <v>NO</v>
      </c>
      <c r="B82" s="54" t="str">
        <f ca="1">IFERROR(__xludf.DUMMYFUNCTION("""COMPUTED_VALUE"""),"https://www.ssb.no/en/arbeid-og-lonn/statistikker/lonnansatt")</f>
        <v>https://www.ssb.no/en/arbeid-og-lonn/statistikker/lonnansatt</v>
      </c>
      <c r="C82" s="14" t="str">
        <f ca="1">IFERROR(__xludf.DUMMYFUNCTION("""COMPUTED_VALUE"""),"raz do roku")</f>
        <v>raz do roku</v>
      </c>
      <c r="D82" s="14"/>
      <c r="E82" s="14"/>
      <c r="F82" s="14" t="str">
        <f ca="1">IFERROR(__xludf.DUMMYFUNCTION("""COMPUTED_VALUE"""),"Urząd Statystyczny")</f>
        <v>Urząd Statystyczny</v>
      </c>
      <c r="G82" s="54" t="str">
        <f ca="1">IFERROR(__xludf.DUMMYFUNCTION("""COMPUTED_VALUE"""),"https://no.talent.com/en/tax-calculator?salary=48750&amp;from=month&amp;region=Norway")</f>
        <v>https://no.talent.com/en/tax-calculator?salary=48750&amp;from=month&amp;region=Norway</v>
      </c>
      <c r="H82" s="14">
        <f ca="1">IFERROR(__xludf.DUMMYFUNCTION("""COMPUTED_VALUE"""),2021)</f>
        <v>2021</v>
      </c>
      <c r="I82" s="14" t="str">
        <f ca="1">IFERROR(__xludf.DUMMYFUNCTION("""COMPUTED_VALUE"""),"monthly")</f>
        <v>monthly</v>
      </c>
      <c r="J82" s="14">
        <f ca="1">IFERROR(__xludf.DUMMYFUNCTION("""COMPUTED_VALUE"""),50790)</f>
        <v>50790</v>
      </c>
      <c r="K82" s="14" t="str">
        <f ca="1">IFERROR(__xludf.DUMMYFUNCTION("""COMPUTED_VALUE"""),"NOK")</f>
        <v>NOK</v>
      </c>
      <c r="L82" s="14">
        <f ca="1">IFERROR(__xludf.DUMMYFUNCTION("""COMPUTED_VALUE"""),37388)</f>
        <v>37388</v>
      </c>
      <c r="M82" s="14" t="str">
        <f ca="1">IFERROR(__xludf.DUMMYFUNCTION("""COMPUTED_VALUE"""),"NOK")</f>
        <v>NOK</v>
      </c>
      <c r="N82" s="14"/>
      <c r="O82" s="14">
        <f ca="1">IFERROR(__xludf.DUMMYFUNCTION("""COMPUTED_VALUE"""),2020)</f>
        <v>2020</v>
      </c>
      <c r="P82" s="14">
        <f ca="1">IFERROR(__xludf.DUMMYFUNCTION("""COMPUTED_VALUE"""),48750)</f>
        <v>48750</v>
      </c>
      <c r="Q82" s="14"/>
      <c r="R82" s="14">
        <f ca="1">IFERROR(__xludf.DUMMYFUNCTION("""COMPUTED_VALUE"""),35610)</f>
        <v>35610</v>
      </c>
      <c r="S82" s="57">
        <f ca="1">IFERROR(__xludf.DUMMYFUNCTION("""COMPUTED_VALUE"""),0.0499297950014041)</f>
        <v>4.9929795001404098E-2</v>
      </c>
    </row>
    <row r="83" spans="1:19" ht="13" x14ac:dyDescent="0.15">
      <c r="A83" s="14" t="str">
        <f ca="1">IFERROR(__xludf.DUMMYFUNCTION("""COMPUTED_VALUE"""),"NZ")</f>
        <v>NZ</v>
      </c>
      <c r="B83" s="54" t="str">
        <f ca="1">IFERROR(__xludf.DUMMYFUNCTION("""COMPUTED_VALUE"""),"https://www.stats.govt.nz/information-releases/labour-market-statistics-march-2022-quarter")</f>
        <v>https://www.stats.govt.nz/information-releases/labour-market-statistics-march-2022-quarter</v>
      </c>
      <c r="C83" s="14"/>
      <c r="D83" s="14"/>
      <c r="E83" s="54" t="str">
        <f ca="1">IFERROR(__xludf.DUMMYFUNCTION("""COMPUTED_VALUE"""),"https://www.stats.govt.nz/release-calendar")</f>
        <v>https://www.stats.govt.nz/release-calendar</v>
      </c>
      <c r="F83" s="14" t="str">
        <f ca="1">IFERROR(__xludf.DUMMYFUNCTION("""COMPUTED_VALUE"""),"Urząd Statystyczny")</f>
        <v>Urząd Statystyczny</v>
      </c>
      <c r="G83" s="54" t="str">
        <f ca="1">IFERROR(__xludf.DUMMYFUNCTION("""COMPUTED_VALUE"""),"https://www.paye.net.nz/calculator.html")</f>
        <v>https://www.paye.net.nz/calculator.html</v>
      </c>
      <c r="H83" s="14" t="str">
        <f ca="1">IFERROR(__xludf.DUMMYFUNCTION("""COMPUTED_VALUE"""),"Q1/2022")</f>
        <v>Q1/2022</v>
      </c>
      <c r="I83" s="14" t="str">
        <f ca="1">IFERROR(__xludf.DUMMYFUNCTION("""COMPUTED_VALUE"""),"monthly")</f>
        <v>monthly</v>
      </c>
      <c r="J83" s="14" t="str">
        <f ca="1">IFERROR(__xludf.DUMMYFUNCTION("""COMPUTED_VALUE"""),"1406,12 / week")</f>
        <v>1406,12 / week</v>
      </c>
      <c r="K83" s="14" t="str">
        <f ca="1">IFERROR(__xludf.DUMMYFUNCTION("""COMPUTED_VALUE"""),"NZD")</f>
        <v>NZD</v>
      </c>
      <c r="L83" s="14">
        <f ca="1">IFERROR(__xludf.DUMMYFUNCTION("""COMPUTED_VALUE"""),4750.15)</f>
        <v>4750.1499999999996</v>
      </c>
      <c r="M83" s="14" t="str">
        <f ca="1">IFERROR(__xludf.DUMMYFUNCTION("""COMPUTED_VALUE"""),"NZD")</f>
        <v>NZD</v>
      </c>
      <c r="N83" s="14"/>
      <c r="O83" s="14" t="str">
        <f ca="1">IFERROR(__xludf.DUMMYFUNCTION("""COMPUTED_VALUE"""),"Q2/2021")</f>
        <v>Q2/2021</v>
      </c>
      <c r="P83" s="14" t="str">
        <f ca="1">IFERROR(__xludf.DUMMYFUNCTION("""COMPUTED_VALUE"""),"1360,62 / week")</f>
        <v>1360,62 / week</v>
      </c>
      <c r="Q83" s="14"/>
      <c r="R83" s="14">
        <f ca="1">IFERROR(__xludf.DUMMYFUNCTION("""COMPUTED_VALUE"""),1066)</f>
        <v>1066</v>
      </c>
      <c r="S83" s="57">
        <f ca="1">IFERROR(__xludf.DUMMYFUNCTION("""COMPUTED_VALUE"""),3.45605065666041)</f>
        <v>3.4560506566604099</v>
      </c>
    </row>
    <row r="84" spans="1:19" ht="13" x14ac:dyDescent="0.15">
      <c r="A84" s="14" t="str">
        <f ca="1">IFERROR(__xludf.DUMMYFUNCTION("""COMPUTED_VALUE"""),"OM")</f>
        <v>OM</v>
      </c>
      <c r="B84" s="54" t="str">
        <f ca="1">IFERROR(__xludf.DUMMYFUNCTION("""COMPUTED_VALUE"""),"https://www.numbeo.com/cost-of-living/country_result.jsp?country=Oman")</f>
        <v>https://www.numbeo.com/cost-of-living/country_result.jsp?country=Oman</v>
      </c>
      <c r="C84" s="14"/>
      <c r="D84" s="14"/>
      <c r="E84" s="14"/>
      <c r="F84" s="14" t="str">
        <f ca="1">IFERROR(__xludf.DUMMYFUNCTION("""COMPUTED_VALUE"""),"numbeo")</f>
        <v>numbeo</v>
      </c>
      <c r="G84" s="14"/>
      <c r="H84" s="14" t="str">
        <f ca="1">IFERROR(__xludf.DUMMYFUNCTION("""COMPUTED_VALUE"""),"September 2022")</f>
        <v>September 2022</v>
      </c>
      <c r="I84" s="14" t="str">
        <f ca="1">IFERROR(__xludf.DUMMYFUNCTION("""COMPUTED_VALUE"""),"monthly")</f>
        <v>monthly</v>
      </c>
      <c r="J84" s="14"/>
      <c r="K84" s="14"/>
      <c r="L84" s="14">
        <f ca="1">IFERROR(__xludf.DUMMYFUNCTION("""COMPUTED_VALUE"""),644.84)</f>
        <v>644.84</v>
      </c>
      <c r="M84" s="14" t="str">
        <f ca="1">IFERROR(__xludf.DUMMYFUNCTION("""COMPUTED_VALUE"""),"OMR")</f>
        <v>OMR</v>
      </c>
      <c r="N84" s="14"/>
      <c r="O84" s="14" t="str">
        <f ca="1">IFERROR(__xludf.DUMMYFUNCTION("""COMPUTED_VALUE"""),"September 2021")</f>
        <v>September 2021</v>
      </c>
      <c r="P84" s="14"/>
      <c r="Q84" s="14"/>
      <c r="R84" s="14">
        <f ca="1">IFERROR(__xludf.DUMMYFUNCTION("""COMPUTED_VALUE"""),650.93)</f>
        <v>650.92999999999995</v>
      </c>
      <c r="S84" s="57">
        <f ca="1">IFERROR(__xludf.DUMMYFUNCTION("""COMPUTED_VALUE"""),-0.00935584471448525)</f>
        <v>-9.3558447144852508E-3</v>
      </c>
    </row>
    <row r="85" spans="1:19" ht="13" x14ac:dyDescent="0.15">
      <c r="A85" s="14" t="str">
        <f ca="1">IFERROR(__xludf.DUMMYFUNCTION("""COMPUTED_VALUE"""),"PA")</f>
        <v>PA</v>
      </c>
      <c r="B85" s="54" t="str">
        <f ca="1">IFERROR(__xludf.DUMMYFUNCTION("""COMPUTED_VALUE"""),"https://www.numbeo.com/cost-of-living/country_result.jsp?country=Panama")</f>
        <v>https://www.numbeo.com/cost-of-living/country_result.jsp?country=Panama</v>
      </c>
      <c r="C85" s="14"/>
      <c r="D85" s="14"/>
      <c r="E85" s="14"/>
      <c r="F85" s="14" t="str">
        <f ca="1">IFERROR(__xludf.DUMMYFUNCTION("""COMPUTED_VALUE"""),"numbeo")</f>
        <v>numbeo</v>
      </c>
      <c r="G85" s="14"/>
      <c r="H85" s="14" t="str">
        <f ca="1">IFERROR(__xludf.DUMMYFUNCTION("""COMPUTED_VALUE"""),"September 2022")</f>
        <v>September 2022</v>
      </c>
      <c r="I85" s="14" t="str">
        <f ca="1">IFERROR(__xludf.DUMMYFUNCTION("""COMPUTED_VALUE"""),"monthly")</f>
        <v>monthly</v>
      </c>
      <c r="J85" s="14"/>
      <c r="K85" s="14"/>
      <c r="L85" s="14">
        <f ca="1">IFERROR(__xludf.DUMMYFUNCTION("""COMPUTED_VALUE"""),717.88)</f>
        <v>717.88</v>
      </c>
      <c r="M85" s="14" t="str">
        <f ca="1">IFERROR(__xludf.DUMMYFUNCTION("""COMPUTED_VALUE"""),"USD")</f>
        <v>USD</v>
      </c>
      <c r="N85" s="14"/>
      <c r="O85" s="14" t="str">
        <f ca="1">IFERROR(__xludf.DUMMYFUNCTION("""COMPUTED_VALUE"""),"December 2021")</f>
        <v>December 2021</v>
      </c>
      <c r="P85" s="14"/>
      <c r="Q85" s="14"/>
      <c r="R85" s="14">
        <f ca="1">IFERROR(__xludf.DUMMYFUNCTION("""COMPUTED_VALUE"""),736.48)</f>
        <v>736.48</v>
      </c>
      <c r="S85" s="57">
        <f ca="1">IFERROR(__xludf.DUMMYFUNCTION("""COMPUTED_VALUE"""),-0.0252552683032805)</f>
        <v>-2.5255268303280499E-2</v>
      </c>
    </row>
    <row r="86" spans="1:19" ht="13" x14ac:dyDescent="0.15">
      <c r="A86" s="14" t="str">
        <f ca="1">IFERROR(__xludf.DUMMYFUNCTION("""COMPUTED_VALUE"""),"PE")</f>
        <v>PE</v>
      </c>
      <c r="B86" s="54" t="str">
        <f ca="1">IFERROR(__xludf.DUMMYFUNCTION("""COMPUTED_VALUE"""),"https://www.inei.gob.pe/prensa/noticias/en-lima-metropolitana-la-poblacion-ocupada-alcanza-los-5-millones-64-mil-personas-en-el-trimestre-mayo-junio-julio-del-2022-13849/")</f>
        <v>https://www.inei.gob.pe/prensa/noticias/en-lima-metropolitana-la-poblacion-ocupada-alcanza-los-5-millones-64-mil-personas-en-el-trimestre-mayo-junio-julio-del-2022-13849/</v>
      </c>
      <c r="C86" s="14" t="str">
        <f ca="1">IFERROR(__xludf.DUMMYFUNCTION("""COMPUTED_VALUE"""),"co kwartał")</f>
        <v>co kwartał</v>
      </c>
      <c r="D86" s="14" t="str">
        <f ca="1">IFERROR(__xludf.DUMMYFUNCTION("""COMPUTED_VALUE"""),"zapewne sierpień")</f>
        <v>zapewne sierpień</v>
      </c>
      <c r="E86" s="14"/>
      <c r="F86" s="14" t="str">
        <f ca="1">IFERROR(__xludf.DUMMYFUNCTION("""COMPUTED_VALUE"""),"Urząd Statystyczny")</f>
        <v>Urząd Statystyczny</v>
      </c>
      <c r="G86" s="54" t="str">
        <f ca="1">IFERROR(__xludf.DUMMYFUNCTION("""COMPUTED_VALUE"""),"http://www.ramsal.com/linea/peru/peru01.htm")</f>
        <v>http://www.ramsal.com/linea/peru/peru01.htm</v>
      </c>
      <c r="H86" s="14" t="str">
        <f ca="1">IFERROR(__xludf.DUMMYFUNCTION("""COMPUTED_VALUE"""),"May-June-July 2022")</f>
        <v>May-June-July 2022</v>
      </c>
      <c r="I86" s="14" t="str">
        <f ca="1">IFERROR(__xludf.DUMMYFUNCTION("""COMPUTED_VALUE"""),"monthly")</f>
        <v>monthly</v>
      </c>
      <c r="J86" s="14">
        <f ca="1">IFERROR(__xludf.DUMMYFUNCTION("""COMPUTED_VALUE"""),1683.1)</f>
        <v>1683.1</v>
      </c>
      <c r="K86" s="14" t="str">
        <f ca="1">IFERROR(__xludf.DUMMYFUNCTION("""COMPUTED_VALUE"""),"PEN")</f>
        <v>PEN</v>
      </c>
      <c r="L86" s="14">
        <f ca="1">IFERROR(__xludf.DUMMYFUNCTION("""COMPUTED_VALUE"""),1467)</f>
        <v>1467</v>
      </c>
      <c r="M86" s="14" t="str">
        <f ca="1">IFERROR(__xludf.DUMMYFUNCTION("""COMPUTED_VALUE"""),"PEN")</f>
        <v>PEN</v>
      </c>
      <c r="N86" s="14"/>
      <c r="O86" s="14" t="str">
        <f ca="1">IFERROR(__xludf.DUMMYFUNCTION("""COMPUTED_VALUE"""),"September-October-November 2021")</f>
        <v>September-October-November 2021</v>
      </c>
      <c r="P86" s="14">
        <f ca="1">IFERROR(__xludf.DUMMYFUNCTION("""COMPUTED_VALUE"""),1588.3)</f>
        <v>1588.3</v>
      </c>
      <c r="Q86" s="14"/>
      <c r="R86" s="14">
        <f ca="1">IFERROR(__xludf.DUMMYFUNCTION("""COMPUTED_VALUE"""),1400)</f>
        <v>1400</v>
      </c>
      <c r="S86" s="57">
        <f ca="1">IFERROR(__xludf.DUMMYFUNCTION("""COMPUTED_VALUE"""),0.0478571428571428)</f>
        <v>4.78571428571428E-2</v>
      </c>
    </row>
    <row r="87" spans="1:19" ht="13" x14ac:dyDescent="0.15">
      <c r="A87" s="14" t="str">
        <f ca="1">IFERROR(__xludf.DUMMYFUNCTION("""COMPUTED_VALUE"""),"PH")</f>
        <v>PH</v>
      </c>
      <c r="B87" s="54" t="str">
        <f ca="1">IFERROR(__xludf.DUMMYFUNCTION("""COMPUTED_VALUE"""),"https://www.numbeo.com/cost-of-living/country_result.jsp?country=Philippines")</f>
        <v>https://www.numbeo.com/cost-of-living/country_result.jsp?country=Philippines</v>
      </c>
      <c r="C87" s="14"/>
      <c r="D87" s="14"/>
      <c r="E87" s="54" t="str">
        <f ca="1">IFERROR(__xludf.DUMMYFUNCTION("""COMPUTED_VALUE"""),"http://psa.gov.ph/current-labor-statistics/statistical-tables")</f>
        <v>http://psa.gov.ph/current-labor-statistics/statistical-tables</v>
      </c>
      <c r="F87" s="14" t="str">
        <f ca="1">IFERROR(__xludf.DUMMYFUNCTION("""COMPUTED_VALUE"""),"numbeo")</f>
        <v>numbeo</v>
      </c>
      <c r="G87" s="14"/>
      <c r="H87" s="14" t="str">
        <f ca="1">IFERROR(__xludf.DUMMYFUNCTION("""COMPUTED_VALUE"""),"September 2022")</f>
        <v>September 2022</v>
      </c>
      <c r="I87" s="14" t="str">
        <f ca="1">IFERROR(__xludf.DUMMYFUNCTION("""COMPUTED_VALUE"""),"monthly")</f>
        <v>monthly</v>
      </c>
      <c r="J87" s="14"/>
      <c r="K87" s="14"/>
      <c r="L87" s="14">
        <f ca="1">IFERROR(__xludf.DUMMYFUNCTION("""COMPUTED_VALUE"""),16401)</f>
        <v>16401</v>
      </c>
      <c r="M87" s="14" t="str">
        <f ca="1">IFERROR(__xludf.DUMMYFUNCTION("""COMPUTED_VALUE"""),"PHP")</f>
        <v>PHP</v>
      </c>
      <c r="N87" s="14"/>
      <c r="O87" s="14" t="str">
        <f ca="1">IFERROR(__xludf.DUMMYFUNCTION("""COMPUTED_VALUE"""),"September 2021")</f>
        <v>September 2021</v>
      </c>
      <c r="P87" s="14"/>
      <c r="Q87" s="14"/>
      <c r="R87" s="14">
        <f ca="1">IFERROR(__xludf.DUMMYFUNCTION("""COMPUTED_VALUE"""),14895.63)</f>
        <v>14895.63</v>
      </c>
      <c r="S87" s="57">
        <f ca="1">IFERROR(__xludf.DUMMYFUNCTION("""COMPUTED_VALUE"""),0.101061183716298)</f>
        <v>0.10106118371629801</v>
      </c>
    </row>
    <row r="88" spans="1:19" ht="13" x14ac:dyDescent="0.15">
      <c r="A88" s="14" t="str">
        <f ca="1">IFERROR(__xludf.DUMMYFUNCTION("""COMPUTED_VALUE"""),"PK")</f>
        <v>PK</v>
      </c>
      <c r="B88" s="54" t="str">
        <f ca="1">IFERROR(__xludf.DUMMYFUNCTION("""COMPUTED_VALUE"""),"https://www.numbeo.com/cost-of-living/country_result.jsp?country=Pakistan")</f>
        <v>https://www.numbeo.com/cost-of-living/country_result.jsp?country=Pakistan</v>
      </c>
      <c r="C88" s="14"/>
      <c r="D88" s="14"/>
      <c r="E88" s="54" t="str">
        <f ca="1">IFERROR(__xludf.DUMMYFUNCTION("""COMPUTED_VALUE"""),"http://www.pbs.gov.pk/content/labour-force-survey-2017-18-annual-report")</f>
        <v>http://www.pbs.gov.pk/content/labour-force-survey-2017-18-annual-report</v>
      </c>
      <c r="F88" s="14" t="str">
        <f ca="1">IFERROR(__xludf.DUMMYFUNCTION("""COMPUTED_VALUE"""),"numbeo")</f>
        <v>numbeo</v>
      </c>
      <c r="G88" s="14"/>
      <c r="H88" s="14" t="str">
        <f ca="1">IFERROR(__xludf.DUMMYFUNCTION("""COMPUTED_VALUE"""),"September 2022")</f>
        <v>September 2022</v>
      </c>
      <c r="I88" s="14" t="str">
        <f ca="1">IFERROR(__xludf.DUMMYFUNCTION("""COMPUTED_VALUE"""),"monthly")</f>
        <v>monthly</v>
      </c>
      <c r="J88" s="14"/>
      <c r="K88" s="14"/>
      <c r="L88" s="14">
        <f ca="1">IFERROR(__xludf.DUMMYFUNCTION("""COMPUTED_VALUE"""),35322)</f>
        <v>35322</v>
      </c>
      <c r="M88" s="14" t="str">
        <f ca="1">IFERROR(__xludf.DUMMYFUNCTION("""COMPUTED_VALUE"""),"PKR")</f>
        <v>PKR</v>
      </c>
      <c r="N88" s="14"/>
      <c r="O88" s="14" t="str">
        <f ca="1">IFERROR(__xludf.DUMMYFUNCTION("""COMPUTED_VALUE"""),"October 2021")</f>
        <v>October 2021</v>
      </c>
      <c r="P88" s="14"/>
      <c r="Q88" s="14"/>
      <c r="R88" s="14">
        <f ca="1">IFERROR(__xludf.DUMMYFUNCTION("""COMPUTED_VALUE"""),34653.8)</f>
        <v>34653.800000000003</v>
      </c>
      <c r="S88" s="57">
        <f ca="1">IFERROR(__xludf.DUMMYFUNCTION("""COMPUTED_VALUE"""),0.0192821566466014)</f>
        <v>1.9282156646601399E-2</v>
      </c>
    </row>
    <row r="89" spans="1:19" ht="13" x14ac:dyDescent="0.15">
      <c r="A89" s="14" t="str">
        <f ca="1">IFERROR(__xludf.DUMMYFUNCTION("""COMPUTED_VALUE"""),"PL")</f>
        <v>PL</v>
      </c>
      <c r="B89" s="54" t="str">
        <f ca="1">IFERROR(__xludf.DUMMYFUNCTION("""COMPUTED_VALUE"""),"https://stat.gov.pl/sygnalne/komunikaty-i-obwieszczenia/lista-komunikatow-i-obwieszczen/komunikat-w-sprawie-przecietnego-miesiecznego-wynagrodzenia-w-sektorze-przedsiebiorstw-bez-wyplat-nagrod-z-zysku-w-lipcu-2022-roku,57,105.html")</f>
        <v>https://stat.gov.pl/sygnalne/komunikaty-i-obwieszczenia/lista-komunikatow-i-obwieszczen/komunikat-w-sprawie-przecietnego-miesiecznego-wynagrodzenia-w-sektorze-przedsiebiorstw-bez-wyplat-nagrod-z-zysku-w-lipcu-2022-roku,57,105.html</v>
      </c>
      <c r="C89" s="14" t="str">
        <f ca="1">IFERROR(__xludf.DUMMYFUNCTION("""COMPUTED_VALUE"""),"co miesiąc i co kwartał")</f>
        <v>co miesiąc i co kwartał</v>
      </c>
      <c r="D89" s="14" t="str">
        <f ca="1">IFERROR(__xludf.DUMMYFUNCTION("""COMPUTED_VALUE"""),"20 lipca 2022")</f>
        <v>20 lipca 2022</v>
      </c>
      <c r="E89" s="54" t="str">
        <f ca="1">IFERROR(__xludf.DUMMYFUNCTION("""COMPUTED_VALUE"""),"https://stat.gov.pl/sygnalne/komunikaty-i-obwieszczenia/18,2020,kategoria.html")</f>
        <v>https://stat.gov.pl/sygnalne/komunikaty-i-obwieszczenia/18,2020,kategoria.html</v>
      </c>
      <c r="F89" s="14" t="str">
        <f ca="1">IFERROR(__xludf.DUMMYFUNCTION("""COMPUTED_VALUE"""),"Urząd Statystyczny")</f>
        <v>Urząd Statystyczny</v>
      </c>
      <c r="G89" s="54" t="str">
        <f ca="1">IFERROR(__xludf.DUMMYFUNCTION("""COMPUTED_VALUE"""),"https://www.infor.pl/kalkulatory/wynagrodzen-niskie-podatki.html")</f>
        <v>https://www.infor.pl/kalkulatory/wynagrodzen-niskie-podatki.html</v>
      </c>
      <c r="H89" s="14" t="str">
        <f ca="1">IFERROR(__xludf.DUMMYFUNCTION("""COMPUTED_VALUE"""),"July 2022")</f>
        <v>July 2022</v>
      </c>
      <c r="I89" s="14" t="str">
        <f ca="1">IFERROR(__xludf.DUMMYFUNCTION("""COMPUTED_VALUE"""),"monthly")</f>
        <v>monthly</v>
      </c>
      <c r="J89" s="14">
        <f ca="1">IFERROR(__xludf.DUMMYFUNCTION("""COMPUTED_VALUE"""),6777.22)</f>
        <v>6777.22</v>
      </c>
      <c r="K89" s="14" t="str">
        <f ca="1">IFERROR(__xludf.DUMMYFUNCTION("""COMPUTED_VALUE"""),"PLN")</f>
        <v>PLN</v>
      </c>
      <c r="L89" s="14">
        <f ca="1">IFERROR(__xludf.DUMMYFUNCTION("""COMPUTED_VALUE"""),4949.73)</f>
        <v>4949.7299999999996</v>
      </c>
      <c r="M89" s="14" t="str">
        <f ca="1">IFERROR(__xludf.DUMMYFUNCTION("""COMPUTED_VALUE"""),"PLN")</f>
        <v>PLN</v>
      </c>
      <c r="N89" s="14"/>
      <c r="O89" s="14" t="str">
        <f ca="1">IFERROR(__xludf.DUMMYFUNCTION("""COMPUTED_VALUE"""),"Lipiec 2021")</f>
        <v>Lipiec 2021</v>
      </c>
      <c r="P89" s="14">
        <f ca="1">IFERROR(__xludf.DUMMYFUNCTION("""COMPUTED_VALUE"""),5848.38)</f>
        <v>5848.38</v>
      </c>
      <c r="Q89" s="14"/>
      <c r="R89" s="14">
        <f ca="1">IFERROR(__xludf.DUMMYFUNCTION("""COMPUTED_VALUE"""),4211.37)</f>
        <v>4211.37</v>
      </c>
      <c r="S89" s="57">
        <f ca="1">IFERROR(__xludf.DUMMYFUNCTION("""COMPUTED_VALUE"""),0.17532536917915)</f>
        <v>0.17532536917915001</v>
      </c>
    </row>
    <row r="90" spans="1:19" ht="13" x14ac:dyDescent="0.15">
      <c r="A90" s="14" t="str">
        <f ca="1">IFERROR(__xludf.DUMMYFUNCTION("""COMPUTED_VALUE"""),"PR")</f>
        <v>PR</v>
      </c>
      <c r="B90" s="54" t="str">
        <f ca="1">IFERROR(__xludf.DUMMYFUNCTION("""COMPUTED_VALUE"""),"https://www.numbeo.com/cost-of-living/country_result.jsp?country=Puerto+Rico")</f>
        <v>https://www.numbeo.com/cost-of-living/country_result.jsp?country=Puerto+Rico</v>
      </c>
      <c r="C90" s="14"/>
      <c r="D90" s="14"/>
      <c r="E90" s="14"/>
      <c r="F90" s="14" t="str">
        <f ca="1">IFERROR(__xludf.DUMMYFUNCTION("""COMPUTED_VALUE"""),"numbeo")</f>
        <v>numbeo</v>
      </c>
      <c r="G90" s="14"/>
      <c r="H90" s="14" t="str">
        <f ca="1">IFERROR(__xludf.DUMMYFUNCTION("""COMPUTED_VALUE"""),"September 2022")</f>
        <v>September 2022</v>
      </c>
      <c r="I90" s="14" t="str">
        <f ca="1">IFERROR(__xludf.DUMMYFUNCTION("""COMPUTED_VALUE"""),"monthly")</f>
        <v>monthly</v>
      </c>
      <c r="J90" s="14"/>
      <c r="K90" s="14"/>
      <c r="L90" s="14">
        <f ca="1">IFERROR(__xludf.DUMMYFUNCTION("""COMPUTED_VALUE"""),1761.72)</f>
        <v>1761.72</v>
      </c>
      <c r="M90" s="14" t="str">
        <f ca="1">IFERROR(__xludf.DUMMYFUNCTION("""COMPUTED_VALUE"""),"USD")</f>
        <v>USD</v>
      </c>
      <c r="N90" s="14"/>
      <c r="O90" s="14" t="str">
        <f ca="1">IFERROR(__xludf.DUMMYFUNCTION("""COMPUTED_VALUE"""),"December 2021")</f>
        <v>December 2021</v>
      </c>
      <c r="P90" s="14"/>
      <c r="Q90" s="14"/>
      <c r="R90" s="14">
        <f ca="1">IFERROR(__xludf.DUMMYFUNCTION("""COMPUTED_VALUE"""),1873.28)</f>
        <v>1873.28</v>
      </c>
      <c r="S90" s="57">
        <f ca="1">IFERROR(__xludf.DUMMYFUNCTION("""COMPUTED_VALUE"""),-0.0595532968910146)</f>
        <v>-5.9553296891014601E-2</v>
      </c>
    </row>
    <row r="91" spans="1:19" ht="13" x14ac:dyDescent="0.15">
      <c r="A91" s="14" t="str">
        <f ca="1">IFERROR(__xludf.DUMMYFUNCTION("""COMPUTED_VALUE"""),"PT")</f>
        <v>PT</v>
      </c>
      <c r="B91" s="54" t="str">
        <f ca="1">IFERROR(__xludf.DUMMYFUNCTION("""COMPUTED_VALUE"""),"https://www.ine.pt/xportal/xmain?xpid=INE&amp;xpgid=ine_indicadores&amp;indOcorrCod=0010697&amp;contexto=bd&amp;selTab=tab2")</f>
        <v>https://www.ine.pt/xportal/xmain?xpid=INE&amp;xpgid=ine_indicadores&amp;indOcorrCod=0010697&amp;contexto=bd&amp;selTab=tab2</v>
      </c>
      <c r="C91" s="14" t="str">
        <f ca="1">IFERROR(__xludf.DUMMYFUNCTION("""COMPUTED_VALUE"""),"co kwartał, pod linkiem będą zawsze najnowsze dane")</f>
        <v>co kwartał, pod linkiem będą zawsze najnowsze dane</v>
      </c>
      <c r="D91" s="14"/>
      <c r="E91" s="14"/>
      <c r="F91" s="14" t="str">
        <f ca="1">IFERROR(__xludf.DUMMYFUNCTION("""COMPUTED_VALUE"""),"Urząd Statystyczny")</f>
        <v>Urząd Statystyczny</v>
      </c>
      <c r="G91" s="14" t="str">
        <f ca="1">IFERROR(__xludf.DUMMYFUNCTION("""COMPUTED_VALUE"""),"urząd podaje netto")</f>
        <v>urząd podaje netto</v>
      </c>
      <c r="H91" s="14" t="str">
        <f ca="1">IFERROR(__xludf.DUMMYFUNCTION("""COMPUTED_VALUE"""),"Q2/2022")</f>
        <v>Q2/2022</v>
      </c>
      <c r="I91" s="14" t="str">
        <f ca="1">IFERROR(__xludf.DUMMYFUNCTION("""COMPUTED_VALUE"""),"monthly")</f>
        <v>monthly</v>
      </c>
      <c r="J91" s="14"/>
      <c r="K91" s="14"/>
      <c r="L91" s="14">
        <f ca="1">IFERROR(__xludf.DUMMYFUNCTION("""COMPUTED_VALUE"""),1039)</f>
        <v>1039</v>
      </c>
      <c r="M91" s="14" t="str">
        <f ca="1">IFERROR(__xludf.DUMMYFUNCTION("""COMPUTED_VALUE"""),"EUR")</f>
        <v>EUR</v>
      </c>
      <c r="N91" s="14"/>
      <c r="O91" s="14" t="str">
        <f ca="1">IFERROR(__xludf.DUMMYFUNCTION("""COMPUTED_VALUE"""),"Q2/2021")</f>
        <v>Q2/2021</v>
      </c>
      <c r="P91" s="14"/>
      <c r="Q91" s="14"/>
      <c r="R91" s="14">
        <f ca="1">IFERROR(__xludf.DUMMYFUNCTION("""COMPUTED_VALUE"""),1010)</f>
        <v>1010</v>
      </c>
      <c r="S91" s="57">
        <f ca="1">IFERROR(__xludf.DUMMYFUNCTION("""COMPUTED_VALUE"""),0.0287128712871287)</f>
        <v>2.87128712871287E-2</v>
      </c>
    </row>
    <row r="92" spans="1:19" ht="13" x14ac:dyDescent="0.15">
      <c r="A92" s="14" t="str">
        <f ca="1">IFERROR(__xludf.DUMMYFUNCTION("""COMPUTED_VALUE"""),"PY")</f>
        <v>PY</v>
      </c>
      <c r="B92" s="54" t="str">
        <f ca="1">IFERROR(__xludf.DUMMYFUNCTION("""COMPUTED_VALUE"""),"https://www.numbeo.com/cost-of-living/country_result.jsp?country=Paraguay")</f>
        <v>https://www.numbeo.com/cost-of-living/country_result.jsp?country=Paraguay</v>
      </c>
      <c r="C92" s="14"/>
      <c r="D92" s="14"/>
      <c r="E92" s="14"/>
      <c r="F92" s="14" t="str">
        <f ca="1">IFERROR(__xludf.DUMMYFUNCTION("""COMPUTED_VALUE"""),"numbeo")</f>
        <v>numbeo</v>
      </c>
      <c r="G92" s="14"/>
      <c r="H92" s="14" t="str">
        <f ca="1">IFERROR(__xludf.DUMMYFUNCTION("""COMPUTED_VALUE"""),"September 2022")</f>
        <v>September 2022</v>
      </c>
      <c r="I92" s="14" t="str">
        <f ca="1">IFERROR(__xludf.DUMMYFUNCTION("""COMPUTED_VALUE"""),"monthly")</f>
        <v>monthly</v>
      </c>
      <c r="J92" s="14"/>
      <c r="K92" s="14"/>
      <c r="L92" s="14">
        <f ca="1">IFERROR(__xludf.DUMMYFUNCTION("""COMPUTED_VALUE"""),2232258.09)</f>
        <v>2232258.09</v>
      </c>
      <c r="M92" s="14" t="str">
        <f ca="1">IFERROR(__xludf.DUMMYFUNCTION("""COMPUTED_VALUE"""),"PYG")</f>
        <v>PYG</v>
      </c>
      <c r="N92" s="14"/>
      <c r="O92" s="14" t="str">
        <f ca="1">IFERROR(__xludf.DUMMYFUNCTION("""COMPUTED_VALUE"""),"December 2021")</f>
        <v>December 2021</v>
      </c>
      <c r="P92" s="14"/>
      <c r="Q92" s="14"/>
      <c r="R92" s="14">
        <f ca="1">IFERROR(__xludf.DUMMYFUNCTION("""COMPUTED_VALUE"""),2232258)</f>
        <v>2232258</v>
      </c>
      <c r="S92" s="57">
        <f ca="1">IFERROR(__xludf.DUMMYFUNCTION("""COMPUTED_VALUE"""),4.03179201136083E-08)</f>
        <v>4.0317920113608299E-8</v>
      </c>
    </row>
    <row r="93" spans="1:19" ht="13" x14ac:dyDescent="0.15">
      <c r="A93" s="14" t="str">
        <f ca="1">IFERROR(__xludf.DUMMYFUNCTION("""COMPUTED_VALUE"""),"QA")</f>
        <v>QA</v>
      </c>
      <c r="B93" s="54" t="str">
        <f ca="1">IFERROR(__xludf.DUMMYFUNCTION("""COMPUTED_VALUE"""),"https://www.numbeo.com/cost-of-living/country_result.jsp?country=Qatar")</f>
        <v>https://www.numbeo.com/cost-of-living/country_result.jsp?country=Qatar</v>
      </c>
      <c r="C93" s="14"/>
      <c r="D93" s="14"/>
      <c r="E93" s="14"/>
      <c r="F93" s="14" t="str">
        <f ca="1">IFERROR(__xludf.DUMMYFUNCTION("""COMPUTED_VALUE"""),"numbeo")</f>
        <v>numbeo</v>
      </c>
      <c r="G93" s="14"/>
      <c r="H93" s="14" t="str">
        <f ca="1">IFERROR(__xludf.DUMMYFUNCTION("""COMPUTED_VALUE"""),"September 2022")</f>
        <v>September 2022</v>
      </c>
      <c r="I93" s="14" t="str">
        <f ca="1">IFERROR(__xludf.DUMMYFUNCTION("""COMPUTED_VALUE"""),"monthly")</f>
        <v>monthly</v>
      </c>
      <c r="J93" s="14"/>
      <c r="K93" s="14"/>
      <c r="L93" s="14">
        <f ca="1">IFERROR(__xludf.DUMMYFUNCTION("""COMPUTED_VALUE"""),11877.94)</f>
        <v>11877.94</v>
      </c>
      <c r="M93" s="14" t="str">
        <f ca="1">IFERROR(__xludf.DUMMYFUNCTION("""COMPUTED_VALUE"""),"QAR")</f>
        <v>QAR</v>
      </c>
      <c r="N93" s="14"/>
      <c r="O93" s="14" t="str">
        <f ca="1">IFERROR(__xludf.DUMMYFUNCTION("""COMPUTED_VALUE"""),"September 2021")</f>
        <v>September 2021</v>
      </c>
      <c r="P93" s="14"/>
      <c r="Q93" s="14"/>
      <c r="R93" s="14">
        <f ca="1">IFERROR(__xludf.DUMMYFUNCTION("""COMPUTED_VALUE"""),11065.78)</f>
        <v>11065.78</v>
      </c>
      <c r="S93" s="57">
        <f ca="1">IFERROR(__xludf.DUMMYFUNCTION("""COMPUTED_VALUE"""),0.0733938321564318)</f>
        <v>7.3393832156431804E-2</v>
      </c>
    </row>
    <row r="94" spans="1:19" ht="13" x14ac:dyDescent="0.15">
      <c r="A94" s="14" t="str">
        <f ca="1">IFERROR(__xludf.DUMMYFUNCTION("""COMPUTED_VALUE"""),"RO")</f>
        <v>RO</v>
      </c>
      <c r="B94" s="54" t="str">
        <f ca="1">IFERROR(__xludf.DUMMYFUNCTION("""COMPUTED_VALUE"""),"https://insse.ro/cms/en/comunicate-de-presa-view?field_categorie_value_i18n%5B%5D=14&amp;created=7&amp;field_cuvinte_cheie_value=&amp;items_per_page=10")</f>
        <v>https://insse.ro/cms/en/comunicate-de-presa-view?field_categorie_value_i18n%5B%5D=14&amp;created=7&amp;field_cuvinte_cheie_value=&amp;items_per_page=10</v>
      </c>
      <c r="C94" s="14" t="str">
        <f ca="1">IFERROR(__xludf.DUMMYFUNCTION("""COMPUTED_VALUE"""),"co miesiąc")</f>
        <v>co miesiąc</v>
      </c>
      <c r="D94" s="14" t="str">
        <f ca="1">IFERROR(__xludf.DUMMYFUNCTION("""COMPUTED_VALUE"""),"połowa września")</f>
        <v>połowa września</v>
      </c>
      <c r="E94" s="54" t="str">
        <f ca="1">IFERROR(__xludf.DUMMYFUNCTION("""COMPUTED_VALUE"""),"http://www.insse.ro/cms/en/comunicate-de-presa-view?field_categorie_value_i18n%5B%5D=14&amp;created=1&amp;field_cuvinte_cheie_value=&amp;items_per_page=10")</f>
        <v>http://www.insse.ro/cms/en/comunicate-de-presa-view?field_categorie_value_i18n%5B%5D=14&amp;created=1&amp;field_cuvinte_cheie_value=&amp;items_per_page=10</v>
      </c>
      <c r="F94" s="14" t="str">
        <f ca="1">IFERROR(__xludf.DUMMYFUNCTION("""COMPUTED_VALUE"""),"Urząd Statystyczny")</f>
        <v>Urząd Statystyczny</v>
      </c>
      <c r="G94" s="14" t="str">
        <f ca="1">IFERROR(__xludf.DUMMYFUNCTION("""COMPUTED_VALUE"""),"urząd podaje brutto i netto")</f>
        <v>urząd podaje brutto i netto</v>
      </c>
      <c r="H94" s="14" t="str">
        <f ca="1">IFERROR(__xludf.DUMMYFUNCTION("""COMPUTED_VALUE"""),"July 2022")</f>
        <v>July 2022</v>
      </c>
      <c r="I94" s="14" t="str">
        <f ca="1">IFERROR(__xludf.DUMMYFUNCTION("""COMPUTED_VALUE"""),"monthly")</f>
        <v>monthly</v>
      </c>
      <c r="J94" s="14">
        <f ca="1">IFERROR(__xludf.DUMMYFUNCTION("""COMPUTED_VALUE"""),6405)</f>
        <v>6405</v>
      </c>
      <c r="K94" s="14" t="str">
        <f ca="1">IFERROR(__xludf.DUMMYFUNCTION("""COMPUTED_VALUE"""),"RON")</f>
        <v>RON</v>
      </c>
      <c r="L94" s="14">
        <f ca="1">IFERROR(__xludf.DUMMYFUNCTION("""COMPUTED_VALUE"""),3975)</f>
        <v>3975</v>
      </c>
      <c r="M94" s="14" t="str">
        <f ca="1">IFERROR(__xludf.DUMMYFUNCTION("""COMPUTED_VALUE"""),"RON")</f>
        <v>RON</v>
      </c>
      <c r="N94" s="14"/>
      <c r="O94" s="14" t="str">
        <f ca="1">IFERROR(__xludf.DUMMYFUNCTION("""COMPUTED_VALUE"""),"July 2021")</f>
        <v>July 2021</v>
      </c>
      <c r="P94" s="14">
        <f ca="1">IFERROR(__xludf.DUMMYFUNCTION("""COMPUTED_VALUE"""),5780)</f>
        <v>5780</v>
      </c>
      <c r="Q94" s="14"/>
      <c r="R94" s="14">
        <f ca="1">IFERROR(__xludf.DUMMYFUNCTION("""COMPUTED_VALUE"""),3545)</f>
        <v>3545</v>
      </c>
      <c r="S94" s="57">
        <f ca="1">IFERROR(__xludf.DUMMYFUNCTION("""COMPUTED_VALUE"""),0.121297602256699)</f>
        <v>0.121297602256699</v>
      </c>
    </row>
    <row r="95" spans="1:19" ht="13" x14ac:dyDescent="0.15">
      <c r="A95" s="14" t="str">
        <f ca="1">IFERROR(__xludf.DUMMYFUNCTION("""COMPUTED_VALUE"""),"RS")</f>
        <v>RS</v>
      </c>
      <c r="B95" s="54" t="str">
        <f ca="1">IFERROR(__xludf.DUMMYFUNCTION("""COMPUTED_VALUE"""),"http://www.stat.gov.rs/en-US/oblasti/trziste-rada/zarade")</f>
        <v>http://www.stat.gov.rs/en-US/oblasti/trziste-rada/zarade</v>
      </c>
      <c r="C95" s="14" t="str">
        <f ca="1">IFERROR(__xludf.DUMMYFUNCTION("""COMPUTED_VALUE"""),"co miesiąc")</f>
        <v>co miesiąc</v>
      </c>
      <c r="D95" s="14"/>
      <c r="E95" s="54" t="str">
        <f ca="1">IFERROR(__xludf.DUMMYFUNCTION("""COMPUTED_VALUE"""),"http://www.stat.gov.rs/en-us/calendar/?a=24&amp;s=2403")</f>
        <v>http://www.stat.gov.rs/en-us/calendar/?a=24&amp;s=2403</v>
      </c>
      <c r="F95" s="14" t="str">
        <f ca="1">IFERROR(__xludf.DUMMYFUNCTION("""COMPUTED_VALUE"""),"Urząd Statystyczny")</f>
        <v>Urząd Statystyczny</v>
      </c>
      <c r="G95" s="14" t="str">
        <f ca="1">IFERROR(__xludf.DUMMYFUNCTION("""COMPUTED_VALUE"""),"urząd podaje brutto i netto")</f>
        <v>urząd podaje brutto i netto</v>
      </c>
      <c r="H95" s="14" t="str">
        <f ca="1">IFERROR(__xludf.DUMMYFUNCTION("""COMPUTED_VALUE"""),"June 2022")</f>
        <v>June 2022</v>
      </c>
      <c r="I95" s="14" t="str">
        <f ca="1">IFERROR(__xludf.DUMMYFUNCTION("""COMPUTED_VALUE"""),"monthly")</f>
        <v>monthly</v>
      </c>
      <c r="J95" s="14">
        <f ca="1">IFERROR(__xludf.DUMMYFUNCTION("""COMPUTED_VALUE"""),102523)</f>
        <v>102523</v>
      </c>
      <c r="K95" s="14" t="str">
        <f ca="1">IFERROR(__xludf.DUMMYFUNCTION("""COMPUTED_VALUE"""),"RSD")</f>
        <v>RSD</v>
      </c>
      <c r="L95" s="14">
        <f ca="1">IFERROR(__xludf.DUMMYFUNCTION("""COMPUTED_VALUE"""),74302)</f>
        <v>74302</v>
      </c>
      <c r="M95" s="14" t="str">
        <f ca="1">IFERROR(__xludf.DUMMYFUNCTION("""COMPUTED_VALUE"""),"RSD")</f>
        <v>RSD</v>
      </c>
      <c r="N95" s="14"/>
      <c r="O95" s="14" t="str">
        <f ca="1">IFERROR(__xludf.DUMMYFUNCTION("""COMPUTED_VALUE"""),"July 2021")</f>
        <v>July 2021</v>
      </c>
      <c r="P95" s="14">
        <f ca="1">IFERROR(__xludf.DUMMYFUNCTION("""COMPUTED_VALUE"""),89330)</f>
        <v>89330</v>
      </c>
      <c r="Q95" s="14"/>
      <c r="R95" s="14">
        <f ca="1">IFERROR(__xludf.DUMMYFUNCTION("""COMPUTED_VALUE"""),64731)</f>
        <v>64731</v>
      </c>
      <c r="S95" s="57">
        <f ca="1">IFERROR(__xludf.DUMMYFUNCTION("""COMPUTED_VALUE"""),0.147858058735381)</f>
        <v>0.14785805873538099</v>
      </c>
    </row>
    <row r="96" spans="1:19" ht="13" x14ac:dyDescent="0.15">
      <c r="A96" s="14" t="str">
        <f ca="1">IFERROR(__xludf.DUMMYFUNCTION("""COMPUTED_VALUE"""),"RU")</f>
        <v>RU</v>
      </c>
      <c r="B96" s="54" t="str">
        <f ca="1">IFERROR(__xludf.DUMMYFUNCTION("""COMPUTED_VALUE"""),"https://rosstat.gov.ru/labor_market_employment_salaries")</f>
        <v>https://rosstat.gov.ru/labor_market_employment_salaries</v>
      </c>
      <c r="C96" s="14" t="str">
        <f ca="1">IFERROR(__xludf.DUMMYFUNCTION("""COMPUTED_VALUE"""),"prawdopodobnie co miesiąc (są też dane kwartalne)")</f>
        <v>prawdopodobnie co miesiąc (są też dane kwartalne)</v>
      </c>
      <c r="D96" s="14"/>
      <c r="E96" s="54" t="str">
        <f ca="1">IFERROR(__xludf.DUMMYFUNCTION("""COMPUTED_VALUE"""),"http://www.gks.ru/wps/wcm/connect/rosstat_main/rosstat/ru/statistics/publications/plan/")</f>
        <v>http://www.gks.ru/wps/wcm/connect/rosstat_main/rosstat/ru/statistics/publications/plan/</v>
      </c>
      <c r="F96" s="14" t="str">
        <f ca="1">IFERROR(__xludf.DUMMYFUNCTION("""COMPUTED_VALUE"""),"Urząd Statystyczny")</f>
        <v>Urząd Statystyczny</v>
      </c>
      <c r="G96" s="14" t="str">
        <f ca="1">IFERROR(__xludf.DUMMYFUNCTION("""COMPUTED_VALUE"""),"netto = 87% * brutto")</f>
        <v>netto = 87% * brutto</v>
      </c>
      <c r="H96" s="14" t="str">
        <f ca="1">IFERROR(__xludf.DUMMYFUNCTION("""COMPUTED_VALUE"""),"Q2/2022")</f>
        <v>Q2/2022</v>
      </c>
      <c r="I96" s="14" t="str">
        <f ca="1">IFERROR(__xludf.DUMMYFUNCTION("""COMPUTED_VALUE"""),"monthly")</f>
        <v>monthly</v>
      </c>
      <c r="J96" s="14">
        <f ca="1">IFERROR(__xludf.DUMMYFUNCTION("""COMPUTED_VALUE"""),63784)</f>
        <v>63784</v>
      </c>
      <c r="K96" s="14" t="str">
        <f ca="1">IFERROR(__xludf.DUMMYFUNCTION("""COMPUTED_VALUE"""),"RUB")</f>
        <v>RUB</v>
      </c>
      <c r="L96" s="14">
        <f ca="1">IFERROR(__xludf.DUMMYFUNCTION("""COMPUTED_VALUE"""),55492.08)</f>
        <v>55492.08</v>
      </c>
      <c r="M96" s="14" t="str">
        <f ca="1">IFERROR(__xludf.DUMMYFUNCTION("""COMPUTED_VALUE"""),"RUB")</f>
        <v>RUB</v>
      </c>
      <c r="N96" s="14"/>
      <c r="O96" s="14" t="str">
        <f ca="1">IFERROR(__xludf.DUMMYFUNCTION("""COMPUTED_VALUE"""),"Q2/2021")</f>
        <v>Q2/2021</v>
      </c>
      <c r="P96" s="14">
        <f ca="1">IFERROR(__xludf.DUMMYFUNCTION("""COMPUTED_VALUE"""),57275)</f>
        <v>57275</v>
      </c>
      <c r="Q96" s="14"/>
      <c r="R96" s="14">
        <f ca="1">IFERROR(__xludf.DUMMYFUNCTION("""COMPUTED_VALUE"""),49829.25)</f>
        <v>49829.25</v>
      </c>
      <c r="S96" s="57">
        <f ca="1">IFERROR(__xludf.DUMMYFUNCTION("""COMPUTED_VALUE"""),0.113644696639022)</f>
        <v>0.11364469663902201</v>
      </c>
    </row>
    <row r="97" spans="1:19" ht="13" x14ac:dyDescent="0.15">
      <c r="A97" s="14" t="str">
        <f ca="1">IFERROR(__xludf.DUMMYFUNCTION("""COMPUTED_VALUE"""),"RW")</f>
        <v>RW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57" t="str">
        <f ca="1">IFERROR(__xludf.DUMMYFUNCTION("""COMPUTED_VALUE"""),"")</f>
        <v/>
      </c>
    </row>
    <row r="98" spans="1:19" ht="13" x14ac:dyDescent="0.15">
      <c r="A98" s="14" t="str">
        <f ca="1">IFERROR(__xludf.DUMMYFUNCTION("""COMPUTED_VALUE"""),"SA")</f>
        <v>SA</v>
      </c>
      <c r="B98" s="54" t="str">
        <f ca="1">IFERROR(__xludf.DUMMYFUNCTION("""COMPUTED_VALUE"""),"https://www.stats.gov.sa/en/814")</f>
        <v>https://www.stats.gov.sa/en/814</v>
      </c>
      <c r="C98" s="14" t="str">
        <f ca="1">IFERROR(__xludf.DUMMYFUNCTION("""COMPUTED_VALUE"""),"Trzeba ściągnąc XLS Labor market statistics, tam będzie w tabeli 6-1, bierzemy tylko Saudyjczyków")</f>
        <v>Trzeba ściągnąc XLS Labor market statistics, tam będzie w tabeli 6-1, bierzemy tylko Saudyjczyków</v>
      </c>
      <c r="D98" s="14"/>
      <c r="E98" s="14"/>
      <c r="F98" s="14" t="str">
        <f ca="1">IFERROR(__xludf.DUMMYFUNCTION("""COMPUTED_VALUE"""),"Urząd Statystyczny")</f>
        <v>Urząd Statystyczny</v>
      </c>
      <c r="G98" s="14" t="str">
        <f ca="1">IFERROR(__xludf.DUMMYFUNCTION("""COMPUTED_VALUE"""),"brak PITu")</f>
        <v>brak PITu</v>
      </c>
      <c r="H98" s="14" t="str">
        <f ca="1">IFERROR(__xludf.DUMMYFUNCTION("""COMPUTED_VALUE"""),"Q1/2022")</f>
        <v>Q1/2022</v>
      </c>
      <c r="I98" s="14" t="str">
        <f ca="1">IFERROR(__xludf.DUMMYFUNCTION("""COMPUTED_VALUE"""),"monthly")</f>
        <v>monthly</v>
      </c>
      <c r="J98" s="14"/>
      <c r="K98" s="14"/>
      <c r="L98" s="14">
        <f ca="1">IFERROR(__xludf.DUMMYFUNCTION("""COMPUTED_VALUE"""),9812)</f>
        <v>9812</v>
      </c>
      <c r="M98" s="14" t="str">
        <f ca="1">IFERROR(__xludf.DUMMYFUNCTION("""COMPUTED_VALUE"""),"SAR")</f>
        <v>SAR</v>
      </c>
      <c r="N98" s="14"/>
      <c r="O98" s="14" t="str">
        <f ca="1">IFERROR(__xludf.DUMMYFUNCTION("""COMPUTED_VALUE"""),"Q2/2021")</f>
        <v>Q2/2021</v>
      </c>
      <c r="P98" s="14"/>
      <c r="Q98" s="14"/>
      <c r="R98" s="14">
        <f ca="1">IFERROR(__xludf.DUMMYFUNCTION("""COMPUTED_VALUE"""),10491)</f>
        <v>10491</v>
      </c>
      <c r="S98" s="57">
        <f ca="1">IFERROR(__xludf.DUMMYFUNCTION("""COMPUTED_VALUE"""),-0.0647221427890573)</f>
        <v>-6.4722142789057302E-2</v>
      </c>
    </row>
    <row r="99" spans="1:19" ht="13" x14ac:dyDescent="0.15">
      <c r="A99" s="14" t="str">
        <f ca="1">IFERROR(__xludf.DUMMYFUNCTION("""COMPUTED_VALUE"""),"SE")</f>
        <v>SE</v>
      </c>
      <c r="B99" s="54" t="str">
        <f ca="1">IFERROR(__xludf.DUMMYFUNCTION("""COMPUTED_VALUE"""),"https://www.scb.se/hitta-statistik/sverige-i-siffror/utbildning-jobb-och-pengar/medelloner-i-sverige/")</f>
        <v>https://www.scb.se/hitta-statistik/sverige-i-siffror/utbildning-jobb-och-pengar/medelloner-i-sverige/</v>
      </c>
      <c r="C99" s="14" t="str">
        <f ca="1">IFERROR(__xludf.DUMMYFUNCTION("""COMPUTED_VALUE"""),"co roku")</f>
        <v>co roku</v>
      </c>
      <c r="D99" s="14"/>
      <c r="E99" s="54" t="str">
        <f ca="1">IFERROR(__xludf.DUMMYFUNCTION("""COMPUTED_VALUE"""),"https://www.scb.se/en/finding-statistics/publishing-calendar/?prodKod=AM0101")</f>
        <v>https://www.scb.se/en/finding-statistics/publishing-calendar/?prodKod=AM0101</v>
      </c>
      <c r="F99" s="14" t="str">
        <f ca="1">IFERROR(__xludf.DUMMYFUNCTION("""COMPUTED_VALUE"""),"Urząd Statystyczny")</f>
        <v>Urząd Statystyczny</v>
      </c>
      <c r="G99" s="54" t="str">
        <f ca="1">IFERROR(__xludf.DUMMYFUNCTION("""COMPUTED_VALUE"""),"https://statsskuld.se/en/jobs/net-salary")</f>
        <v>https://statsskuld.se/en/jobs/net-salary</v>
      </c>
      <c r="H99" s="14">
        <f ca="1">IFERROR(__xludf.DUMMYFUNCTION("""COMPUTED_VALUE"""),2021)</f>
        <v>2021</v>
      </c>
      <c r="I99" s="14" t="str">
        <f ca="1">IFERROR(__xludf.DUMMYFUNCTION("""COMPUTED_VALUE"""),"monthly")</f>
        <v>monthly</v>
      </c>
      <c r="J99" s="14">
        <f ca="1">IFERROR(__xludf.DUMMYFUNCTION("""COMPUTED_VALUE"""),37100)</f>
        <v>37100</v>
      </c>
      <c r="K99" s="14" t="str">
        <f ca="1">IFERROR(__xludf.DUMMYFUNCTION("""COMPUTED_VALUE"""),"SEK")</f>
        <v>SEK</v>
      </c>
      <c r="L99" s="14">
        <f ca="1">IFERROR(__xludf.DUMMYFUNCTION("""COMPUTED_VALUE"""),28743)</f>
        <v>28743</v>
      </c>
      <c r="M99" s="14" t="str">
        <f ca="1">IFERROR(__xludf.DUMMYFUNCTION("""COMPUTED_VALUE"""),"SEK")</f>
        <v>SEK</v>
      </c>
      <c r="N99" s="14"/>
      <c r="O99" s="14">
        <f ca="1">IFERROR(__xludf.DUMMYFUNCTION("""COMPUTED_VALUE"""),2020)</f>
        <v>2020</v>
      </c>
      <c r="P99" s="14">
        <f ca="1">IFERROR(__xludf.DUMMYFUNCTION("""COMPUTED_VALUE"""),36100)</f>
        <v>36100</v>
      </c>
      <c r="Q99" s="14"/>
      <c r="R99" s="14">
        <f ca="1">IFERROR(__xludf.DUMMYFUNCTION("""COMPUTED_VALUE"""),22970)</f>
        <v>22970</v>
      </c>
      <c r="S99" s="57">
        <f ca="1">IFERROR(__xludf.DUMMYFUNCTION("""COMPUTED_VALUE"""),0.251327818894209)</f>
        <v>0.25132781889420902</v>
      </c>
    </row>
    <row r="100" spans="1:19" ht="13" x14ac:dyDescent="0.15">
      <c r="A100" s="14" t="str">
        <f ca="1">IFERROR(__xludf.DUMMYFUNCTION("""COMPUTED_VALUE"""),"SG")</f>
        <v>SG</v>
      </c>
      <c r="B100" s="54" t="str">
        <f ca="1">IFERROR(__xludf.DUMMYFUNCTION("""COMPUTED_VALUE"""),"https://data.gov.sg/dataset/average-monthly-nominal-earnings-per-employee-by-sex-quarterly")</f>
        <v>https://data.gov.sg/dataset/average-monthly-nominal-earnings-per-employee-by-sex-quarterly</v>
      </c>
      <c r="C100" s="14"/>
      <c r="D100" s="14"/>
      <c r="E100" s="54" t="str">
        <f ca="1">IFERROR(__xludf.DUMMYFUNCTION("""COMPUTED_VALUE"""),"https://stats.mom.gov.sg/Pages/Future-Releases.aspx")</f>
        <v>https://stats.mom.gov.sg/Pages/Future-Releases.aspx</v>
      </c>
      <c r="F100" s="14" t="str">
        <f ca="1">IFERROR(__xludf.DUMMYFUNCTION("""COMPUTED_VALUE"""),"Ministerstwo Pracy")</f>
        <v>Ministerstwo Pracy</v>
      </c>
      <c r="G100" s="54" t="str">
        <f ca="1">IFERROR(__xludf.DUMMYFUNCTION("""COMPUTED_VALUE"""),"https://sg.neuvoo.com/tax-calculator/?iam=&amp;uet_calculate=calculate&amp;salary=5549&amp;from=month&amp;region=Singapore")</f>
        <v>https://sg.neuvoo.com/tax-calculator/?iam=&amp;uet_calculate=calculate&amp;salary=5549&amp;from=month&amp;region=Singapore</v>
      </c>
      <c r="H100" s="14" t="str">
        <f ca="1">IFERROR(__xludf.DUMMYFUNCTION("""COMPUTED_VALUE"""),"Q3/2021")</f>
        <v>Q3/2021</v>
      </c>
      <c r="I100" s="14" t="str">
        <f ca="1">IFERROR(__xludf.DUMMYFUNCTION("""COMPUTED_VALUE"""),"monthly")</f>
        <v>monthly</v>
      </c>
      <c r="J100" s="14">
        <f ca="1">IFERROR(__xludf.DUMMYFUNCTION("""COMPUTED_VALUE"""),5.412)</f>
        <v>5.4119999999999999</v>
      </c>
      <c r="K100" s="14" t="str">
        <f ca="1">IFERROR(__xludf.DUMMYFUNCTION("""COMPUTED_VALUE"""),"SGD")</f>
        <v>SGD</v>
      </c>
      <c r="L100" s="14">
        <f ca="1">IFERROR(__xludf.DUMMYFUNCTION("""COMPUTED_VALUE"""),4571)</f>
        <v>4571</v>
      </c>
      <c r="M100" s="14" t="str">
        <f ca="1">IFERROR(__xludf.DUMMYFUNCTION("""COMPUTED_VALUE"""),"SGD")</f>
        <v>SGD</v>
      </c>
      <c r="N100" s="14"/>
      <c r="O100" s="14" t="str">
        <f ca="1">IFERROR(__xludf.DUMMYFUNCTION("""COMPUTED_VALUE"""),"Q4/2020")</f>
        <v>Q4/2020</v>
      </c>
      <c r="P100" s="14">
        <f ca="1">IFERROR(__xludf.DUMMYFUNCTION("""COMPUTED_VALUE"""),5877)</f>
        <v>5877</v>
      </c>
      <c r="Q100" s="14"/>
      <c r="R100" s="14">
        <f ca="1">IFERROR(__xludf.DUMMYFUNCTION("""COMPUTED_VALUE"""),4571)</f>
        <v>4571</v>
      </c>
      <c r="S100" s="57">
        <f ca="1">IFERROR(__xludf.DUMMYFUNCTION("""COMPUTED_VALUE"""),0)</f>
        <v>0</v>
      </c>
    </row>
    <row r="101" spans="1:19" ht="13" x14ac:dyDescent="0.15">
      <c r="A101" s="14" t="str">
        <f ca="1">IFERROR(__xludf.DUMMYFUNCTION("""COMPUTED_VALUE"""),"SI")</f>
        <v>SI</v>
      </c>
      <c r="B101" s="54" t="str">
        <f ca="1">IFERROR(__xludf.DUMMYFUNCTION("""COMPUTED_VALUE"""),"https://www.stat.si/StatWeb/en/Field/Index/15")</f>
        <v>https://www.stat.si/StatWeb/en/Field/Index/15</v>
      </c>
      <c r="C101" s="14" t="str">
        <f ca="1">IFERROR(__xludf.DUMMYFUNCTION("""COMPUTED_VALUE"""),"co miesiąc")</f>
        <v>co miesiąc</v>
      </c>
      <c r="D101" s="14" t="str">
        <f ca="1">IFERROR(__xludf.DUMMYFUNCTION("""COMPUTED_VALUE"""),"pod koniec miesiąca")</f>
        <v>pod koniec miesiąca</v>
      </c>
      <c r="E101" s="54" t="str">
        <f ca="1">IFERROR(__xludf.DUMMYFUNCTION("""COMPUTED_VALUE"""),"https://pxweb.stat.si/SiStatDb/pxweb/en/10_Dem_soc/10_Dem_soc__07_trg_dela__10_place__01_07010_place/0701011S.px/")</f>
        <v>https://pxweb.stat.si/SiStatDb/pxweb/en/10_Dem_soc/10_Dem_soc__07_trg_dela__10_place__01_07010_place/0701011S.px/</v>
      </c>
      <c r="F101" s="14" t="str">
        <f ca="1">IFERROR(__xludf.DUMMYFUNCTION("""COMPUTED_VALUE"""),"Urząd Statystyczny")</f>
        <v>Urząd Statystyczny</v>
      </c>
      <c r="G101" s="14" t="str">
        <f ca="1">IFERROR(__xludf.DUMMYFUNCTION("""COMPUTED_VALUE"""),"urząd podaje brutto i netto")</f>
        <v>urząd podaje brutto i netto</v>
      </c>
      <c r="H101" s="14" t="str">
        <f ca="1">IFERROR(__xludf.DUMMYFUNCTION("""COMPUTED_VALUE"""),"June 2022")</f>
        <v>June 2022</v>
      </c>
      <c r="I101" s="14" t="str">
        <f ca="1">IFERROR(__xludf.DUMMYFUNCTION("""COMPUTED_VALUE"""),"monthly")</f>
        <v>monthly</v>
      </c>
      <c r="J101" s="14">
        <f ca="1">IFERROR(__xludf.DUMMYFUNCTION("""COMPUTED_VALUE"""),2007.64)</f>
        <v>2007.64</v>
      </c>
      <c r="K101" s="14" t="str">
        <f ca="1">IFERROR(__xludf.DUMMYFUNCTION("""COMPUTED_VALUE"""),"EUR")</f>
        <v>EUR</v>
      </c>
      <c r="L101" s="14">
        <f ca="1">IFERROR(__xludf.DUMMYFUNCTION("""COMPUTED_VALUE"""),1307.61)</f>
        <v>1307.6099999999999</v>
      </c>
      <c r="M101" s="14" t="str">
        <f ca="1">IFERROR(__xludf.DUMMYFUNCTION("""COMPUTED_VALUE"""),"EUR")</f>
        <v>EUR</v>
      </c>
      <c r="N101" s="14"/>
      <c r="O101" s="14" t="str">
        <f ca="1">IFERROR(__xludf.DUMMYFUNCTION("""COMPUTED_VALUE"""),"June 2021")</f>
        <v>June 2021</v>
      </c>
      <c r="P101" s="14">
        <f ca="1">IFERROR(__xludf.DUMMYFUNCTION("""COMPUTED_VALUE"""),1952.05)</f>
        <v>1952.05</v>
      </c>
      <c r="Q101" s="14"/>
      <c r="R101" s="14">
        <f ca="1">IFERROR(__xludf.DUMMYFUNCTION("""COMPUTED_VALUE"""),1256.24)</f>
        <v>1256.24</v>
      </c>
      <c r="S101" s="57">
        <f ca="1">IFERROR(__xludf.DUMMYFUNCTION("""COMPUTED_VALUE"""),0.0408918677959624)</f>
        <v>4.0891867795962399E-2</v>
      </c>
    </row>
    <row r="102" spans="1:19" ht="13" x14ac:dyDescent="0.15">
      <c r="A102" s="14" t="str">
        <f ca="1">IFERROR(__xludf.DUMMYFUNCTION("""COMPUTED_VALUE"""),"SK")</f>
        <v>SK</v>
      </c>
      <c r="B102" s="54" t="str">
        <f ca="1">IFERROR(__xludf.DUMMYFUNCTION("""COMPUTED_VALUE"""),"http://datacube.statistics.sk/#!/view/sk/VBD_INTERN/pr0204qs/v_pr0204qs_00_00_00_sk")</f>
        <v>http://datacube.statistics.sk/#!/view/sk/VBD_INTERN/pr0204qs/v_pr0204qs_00_00_00_sk</v>
      </c>
      <c r="C102" s="14" t="str">
        <f ca="1">IFERROR(__xludf.DUMMYFUNCTION("""COMPUTED_VALUE"""),"co miesiąc (są też dane kwartalne i półroczne)")</f>
        <v>co miesiąc (są też dane kwartalne i półroczne)</v>
      </c>
      <c r="D102" s="58">
        <f ca="1">IFERROR(__xludf.DUMMYFUNCTION("""COMPUTED_VALUE"""),44809)</f>
        <v>44809</v>
      </c>
      <c r="E102" s="54" t="str">
        <f ca="1">IFERROR(__xludf.DUMMYFUNCTION("""COMPUTED_VALUE"""),"https://slovak.statistics.sk/wps/portal/ext/products/Prve-Zverejnenie-Kalendar/!ut/p/z1/tVNNk5NAFPwtHjjCvDB8DN4gVoCVRFkWkszFAnYSMOFjYYSNv95Bc7HKJbEs5wJUdfd0P14jinaI1ulQHlNeNnV6Ft97anyxwzCMgiQBN1FX4OOFC5s4BsAmShBFNK95ywu0b7I-LeT-JJf1QU5PXALx0nSVUBtqJvdtlw4"&amp;"XCYae8ZN4Yj3LsU4OspZqWNYWTJBU9iwTgxz0TE8tllqTfJuXz2h_F3r7029o-sRxFjaAE2DwHz5GG2-5Ut1YR3QmzpNx5S9d29PMAIAErg6-7cWPVogx2HiWL8bxiw9vHBvu488YnPhJ8PkaL1pb4CeR9vSJmOqH1eLKnwH80_0CQOfjbaf_dWOCtzTorEnHuAEQQ9qLFOabW7AQMYeSjSiup908o-gvl8wD9IBomVXKmFcKKCYxxWhMoqmaZe"&amp;"gYT61Ru_VyfRSyKS-mOjRod5e2oJZfX16oLVrV1Jy9crT7H7US99h1homw2LED61infOtE3wvO2_69BBKM46gcm-Z4ZkreVBL8iVI0vfD3OxK1VUXwpZyOfHr0vjsb2d0SrmeX8d0PjrMiag!!/dz/d5/L2dJQSEvUUt3QS80TmxFL1o2X0FRUVFTTFZWMEdWMkYwSTMxRzBOVVUwMDM3/")</f>
        <v>https://slovak.statistics.sk/wps/portal/ext/products/Prve-Zverejnenie-Kalendar/!ut/p/z1/tVNNk5NAFPwtHjjCvDB8DN4gVoCVRFkWkszFAnYSMOFjYYSNv95Bc7HKJbEs5wJUdfd0P14jinaI1ulQHlNeNnV6Ft97anyxwzCMgiQBN1FX4OOFC5s4BsAmShBFNK95ywu0b7I-LeT-JJf1QU5PXALx0nSVUBtqJvdtlw4XCYae8ZN4Yj3LsU4OspZqWNYWTJBU9iwTgxz0TE8tllqTfJuXz2h_F3r7029o-sRxFjaAE2DwHz5GG2-5Ut1YR3QmzpNx5S9d29PMAIAErg6-7cWPVogx2HiWL8bxiw9vHBvu488YnPhJ8PkaL1pb4CeR9vSJmOqH1eLKnwH80_0CQOfjbaf_dWOCtzTorEnHuAEQQ9qLFOabW7AQMYeSjSiup908o-gvl8wD9IBomVXKmFcKKCYxxWhMoqmaZegYT61Ru_VyfRSyKS-mOjRod5e2oJZfX16oLVrV1Jy9crT7H7US99h1homw2LED61infOtE3wvO2_69BBKM46gcm-Z4ZkreVBL8iVI0vfD3OxK1VUXwpZyOfHr0vjsb2d0SrmeX8d0PjrMiag!!/dz/d5/L2dJQSEvUUt3QS80TmxFL1o2X0FRUVFTTFZWMEdWMkYwSTMxRzBOVVUwMDM3/</v>
      </c>
      <c r="F102" s="14" t="str">
        <f ca="1">IFERROR(__xludf.DUMMYFUNCTION("""COMPUTED_VALUE"""),"Urząd Statystyczny")</f>
        <v>Urząd Statystyczny</v>
      </c>
      <c r="G102" s="54" t="str">
        <f ca="1">IFERROR(__xludf.DUMMYFUNCTION("""COMPUTED_VALUE"""),"https://openiazoch.zoznam.sk/kalkulacky/vypocet-cistej-mzdy")</f>
        <v>https://openiazoch.zoznam.sk/kalkulacky/vypocet-cistej-mzdy</v>
      </c>
      <c r="H102" s="14" t="str">
        <f ca="1">IFERROR(__xludf.DUMMYFUNCTION("""COMPUTED_VALUE"""),"1/2 2022")</f>
        <v>1/2 2022</v>
      </c>
      <c r="I102" s="14" t="str">
        <f ca="1">IFERROR(__xludf.DUMMYFUNCTION("""COMPUTED_VALUE"""),"monthly")</f>
        <v>monthly</v>
      </c>
      <c r="J102" s="14">
        <f ca="1">IFERROR(__xludf.DUMMYFUNCTION("""COMPUTED_VALUE"""),1252)</f>
        <v>1252</v>
      </c>
      <c r="K102" s="14" t="str">
        <f ca="1">IFERROR(__xludf.DUMMYFUNCTION("""COMPUTED_VALUE"""),"EUR")</f>
        <v>EUR</v>
      </c>
      <c r="L102" s="14">
        <f ca="1">IFERROR(__xludf.DUMMYFUNCTION("""COMPUTED_VALUE"""),948.13)</f>
        <v>948.13</v>
      </c>
      <c r="M102" s="14" t="str">
        <f ca="1">IFERROR(__xludf.DUMMYFUNCTION("""COMPUTED_VALUE"""),"EUR")</f>
        <v>EUR</v>
      </c>
      <c r="N102" s="14"/>
      <c r="O102" s="14" t="str">
        <f ca="1">IFERROR(__xludf.DUMMYFUNCTION("""COMPUTED_VALUE"""),"1/2 2021")</f>
        <v>1/2 2021</v>
      </c>
      <c r="P102" s="14">
        <f ca="1">IFERROR(__xludf.DUMMYFUNCTION("""COMPUTED_VALUE"""),1163)</f>
        <v>1163</v>
      </c>
      <c r="Q102" s="14"/>
      <c r="R102" s="14">
        <f ca="1">IFERROR(__xludf.DUMMYFUNCTION("""COMPUTED_VALUE"""),885.69)</f>
        <v>885.69</v>
      </c>
      <c r="S102" s="57">
        <f ca="1">IFERROR(__xludf.DUMMYFUNCTION("""COMPUTED_VALUE"""),0.0704987072226173)</f>
        <v>7.0498707222617293E-2</v>
      </c>
    </row>
    <row r="103" spans="1:19" ht="13" x14ac:dyDescent="0.15">
      <c r="A103" s="14" t="str">
        <f ca="1">IFERROR(__xludf.DUMMYFUNCTION("""COMPUTED_VALUE"""),"SV")</f>
        <v>SV</v>
      </c>
      <c r="B103" s="54" t="str">
        <f ca="1">IFERROR(__xludf.DUMMYFUNCTION("""COMPUTED_VALUE"""),"https://www.numbeo.com/cost-of-living/country_result.jsp?country=El+Salvador")</f>
        <v>https://www.numbeo.com/cost-of-living/country_result.jsp?country=El+Salvador</v>
      </c>
      <c r="C103" s="14"/>
      <c r="D103" s="14"/>
      <c r="E103" s="14"/>
      <c r="F103" s="14" t="str">
        <f ca="1">IFERROR(__xludf.DUMMYFUNCTION("""COMPUTED_VALUE"""),"numbeo")</f>
        <v>numbeo</v>
      </c>
      <c r="G103" s="14"/>
      <c r="H103" s="14" t="str">
        <f ca="1">IFERROR(__xludf.DUMMYFUNCTION("""COMPUTED_VALUE"""),"September 2022")</f>
        <v>September 2022</v>
      </c>
      <c r="I103" s="14" t="str">
        <f ca="1">IFERROR(__xludf.DUMMYFUNCTION("""COMPUTED_VALUE"""),"monthly")</f>
        <v>monthly</v>
      </c>
      <c r="J103" s="14"/>
      <c r="K103" s="14"/>
      <c r="L103" s="14">
        <f ca="1">IFERROR(__xludf.DUMMYFUNCTION("""COMPUTED_VALUE"""),398.33)</f>
        <v>398.33</v>
      </c>
      <c r="M103" s="14" t="str">
        <f ca="1">IFERROR(__xludf.DUMMYFUNCTION("""COMPUTED_VALUE"""),"USD")</f>
        <v>USD</v>
      </c>
      <c r="N103" s="14"/>
      <c r="O103" s="14" t="str">
        <f ca="1">IFERROR(__xludf.DUMMYFUNCTION("""COMPUTED_VALUE"""),"September 2021")</f>
        <v>September 2021</v>
      </c>
      <c r="P103" s="14"/>
      <c r="Q103" s="14"/>
      <c r="R103" s="14">
        <f ca="1">IFERROR(__xludf.DUMMYFUNCTION("""COMPUTED_VALUE"""),378.64)</f>
        <v>378.64</v>
      </c>
      <c r="S103" s="57">
        <f ca="1">IFERROR(__xludf.DUMMYFUNCTION("""COMPUTED_VALUE"""),0.052001901542362)</f>
        <v>5.2001901542361999E-2</v>
      </c>
    </row>
    <row r="104" spans="1:19" ht="13" x14ac:dyDescent="0.15">
      <c r="A104" s="14" t="str">
        <f ca="1">IFERROR(__xludf.DUMMYFUNCTION("""COMPUTED_VALUE"""),"TH")</f>
        <v>TH</v>
      </c>
      <c r="B104" s="54" t="str">
        <f ca="1">IFERROR(__xludf.DUMMYFUNCTION("""COMPUTED_VALUE"""),"https://www.numbeo.com/cost-of-living/country_result.jsp?country=Thailand")</f>
        <v>https://www.numbeo.com/cost-of-living/country_result.jsp?country=Thailand</v>
      </c>
      <c r="C104" s="14"/>
      <c r="D104" s="14"/>
      <c r="E104" s="14"/>
      <c r="F104" s="14" t="str">
        <f ca="1">IFERROR(__xludf.DUMMYFUNCTION("""COMPUTED_VALUE"""),"numbeo")</f>
        <v>numbeo</v>
      </c>
      <c r="G104" s="14"/>
      <c r="H104" s="14" t="str">
        <f ca="1">IFERROR(__xludf.DUMMYFUNCTION("""COMPUTED_VALUE"""),"September 2022")</f>
        <v>September 2022</v>
      </c>
      <c r="I104" s="14" t="str">
        <f ca="1">IFERROR(__xludf.DUMMYFUNCTION("""COMPUTED_VALUE"""),"monthly")</f>
        <v>monthly</v>
      </c>
      <c r="J104" s="14"/>
      <c r="K104" s="14"/>
      <c r="L104" s="14">
        <f ca="1">IFERROR(__xludf.DUMMYFUNCTION("""COMPUTED_VALUE"""),18063.47)</f>
        <v>18063.47</v>
      </c>
      <c r="M104" s="14" t="str">
        <f ca="1">IFERROR(__xludf.DUMMYFUNCTION("""COMPUTED_VALUE"""),"THB")</f>
        <v>THB</v>
      </c>
      <c r="N104" s="14"/>
      <c r="O104" s="14" t="str">
        <f ca="1">IFERROR(__xludf.DUMMYFUNCTION("""COMPUTED_VALUE"""),"September 2021")</f>
        <v>September 2021</v>
      </c>
      <c r="P104" s="14"/>
      <c r="Q104" s="14"/>
      <c r="R104" s="14">
        <f ca="1">IFERROR(__xludf.DUMMYFUNCTION("""COMPUTED_VALUE"""),18987.23)</f>
        <v>18987.23</v>
      </c>
      <c r="S104" s="57">
        <f ca="1">IFERROR(__xludf.DUMMYFUNCTION("""COMPUTED_VALUE"""),-0.048651646396025)</f>
        <v>-4.8651646396024997E-2</v>
      </c>
    </row>
    <row r="105" spans="1:19" ht="13" x14ac:dyDescent="0.15">
      <c r="A105" s="14" t="str">
        <f ca="1">IFERROR(__xludf.DUMMYFUNCTION("""COMPUTED_VALUE"""),"TJ")</f>
        <v>TJ</v>
      </c>
      <c r="B105" s="54" t="str">
        <f ca="1">IFERROR(__xludf.DUMMYFUNCTION("""COMPUTED_VALUE"""),"https://www.stat.tj/ru/tables-real-sector")</f>
        <v>https://www.stat.tj/ru/tables-real-sector</v>
      </c>
      <c r="C105" s="14" t="str">
        <f ca="1">IFERROR(__xludf.DUMMYFUNCTION("""COMPUTED_VALUE"""),"co miesiąc")</f>
        <v>co miesiąc</v>
      </c>
      <c r="D105" s="14"/>
      <c r="E105" s="14"/>
      <c r="F105" s="14" t="str">
        <f ca="1">IFERROR(__xludf.DUMMYFUNCTION("""COMPUTED_VALUE"""),"Urząd Statystyczny")</f>
        <v>Urząd Statystyczny</v>
      </c>
      <c r="G105" s="54" t="str">
        <f ca="1">IFERROR(__xludf.DUMMYFUNCTION("""COMPUTED_VALUE"""),"https://andoz.tj/Calc?culture=ru-RU")</f>
        <v>https://andoz.tj/Calc?culture=ru-RU</v>
      </c>
      <c r="H105" s="14" t="str">
        <f ca="1">IFERROR(__xludf.DUMMYFUNCTION("""COMPUTED_VALUE""")," June 2022")</f>
        <v xml:space="preserve"> June 2022</v>
      </c>
      <c r="I105" s="14" t="str">
        <f ca="1">IFERROR(__xludf.DUMMYFUNCTION("""COMPUTED_VALUE"""),"monthly")</f>
        <v>monthly</v>
      </c>
      <c r="J105" s="14">
        <f ca="1">IFERROR(__xludf.DUMMYFUNCTION("""COMPUTED_VALUE"""),1907.31)</f>
        <v>1907.31</v>
      </c>
      <c r="K105" s="14" t="str">
        <f ca="1">IFERROR(__xludf.DUMMYFUNCTION("""COMPUTED_VALUE"""),"TJS")</f>
        <v>TJS</v>
      </c>
      <c r="L105" s="14">
        <f ca="1">IFERROR(__xludf.DUMMYFUNCTION("""COMPUTED_VALUE"""),1696.08)</f>
        <v>1696.08</v>
      </c>
      <c r="M105" s="14" t="str">
        <f ca="1">IFERROR(__xludf.DUMMYFUNCTION("""COMPUTED_VALUE"""),"TJS")</f>
        <v>TJS</v>
      </c>
      <c r="N105" s="14"/>
      <c r="O105" s="14" t="str">
        <f ca="1">IFERROR(__xludf.DUMMYFUNCTION("""COMPUTED_VALUE""")," November 2021")</f>
        <v xml:space="preserve"> November 2021</v>
      </c>
      <c r="P105" s="14">
        <f ca="1">IFERROR(__xludf.DUMMYFUNCTION("""COMPUTED_VALUE"""),1612.64)</f>
        <v>1612.64</v>
      </c>
      <c r="Q105" s="14"/>
      <c r="R105" s="14">
        <f ca="1">IFERROR(__xludf.DUMMYFUNCTION("""COMPUTED_VALUE"""),1436.42)</f>
        <v>1436.42</v>
      </c>
      <c r="S105" s="57">
        <f ca="1">IFERROR(__xludf.DUMMYFUNCTION("""COMPUTED_VALUE"""),0.180768855905654)</f>
        <v>0.180768855905654</v>
      </c>
    </row>
    <row r="106" spans="1:19" ht="13" x14ac:dyDescent="0.15">
      <c r="A106" s="14" t="str">
        <f ca="1">IFERROR(__xludf.DUMMYFUNCTION("""COMPUTED_VALUE"""),"TM")</f>
        <v>TM</v>
      </c>
      <c r="B106" s="54" t="str">
        <f ca="1">IFERROR(__xludf.DUMMYFUNCTION("""COMPUTED_VALUE"""),"https://fergana.agency/news/108394/")</f>
        <v>https://fergana.agency/news/108394/</v>
      </c>
      <c r="C106" s="14"/>
      <c r="D106" s="14"/>
      <c r="E106" s="14"/>
      <c r="F106" s="14"/>
      <c r="G106" s="54" t="str">
        <f ca="1">IFERROR(__xludf.DUMMYFUNCTION("""COMPUTED_VALUE"""),"https://turkmenportal.com/compositions/511")</f>
        <v>https://turkmenportal.com/compositions/511</v>
      </c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57" t="str">
        <f ca="1">IFERROR(__xludf.DUMMYFUNCTION("""COMPUTED_VALUE"""),"")</f>
        <v/>
      </c>
    </row>
    <row r="107" spans="1:19" ht="13" x14ac:dyDescent="0.15">
      <c r="A107" s="14" t="str">
        <f ca="1">IFERROR(__xludf.DUMMYFUNCTION("""COMPUTED_VALUE"""),"TN")</f>
        <v>TN</v>
      </c>
      <c r="B107" s="54" t="str">
        <f ca="1">IFERROR(__xludf.DUMMYFUNCTION("""COMPUTED_VALUE"""),"https://www.numbeo.com/cost-of-living/country_result.jsp?country=Tunisia")</f>
        <v>https://www.numbeo.com/cost-of-living/country_result.jsp?country=Tunisia</v>
      </c>
      <c r="C107" s="14"/>
      <c r="D107" s="14"/>
      <c r="E107" s="14"/>
      <c r="F107" s="14" t="str">
        <f ca="1">IFERROR(__xludf.DUMMYFUNCTION("""COMPUTED_VALUE"""),"numbeo")</f>
        <v>numbeo</v>
      </c>
      <c r="G107" s="14"/>
      <c r="H107" s="14" t="str">
        <f ca="1">IFERROR(__xludf.DUMMYFUNCTION("""COMPUTED_VALUE"""),"September 2022")</f>
        <v>September 2022</v>
      </c>
      <c r="I107" s="14" t="str">
        <f ca="1">IFERROR(__xludf.DUMMYFUNCTION("""COMPUTED_VALUE"""),"monthly")</f>
        <v>monthly</v>
      </c>
      <c r="J107" s="14"/>
      <c r="K107" s="14"/>
      <c r="L107" s="14">
        <f ca="1">IFERROR(__xludf.DUMMYFUNCTION("""COMPUTED_VALUE"""),875.35)</f>
        <v>875.35</v>
      </c>
      <c r="M107" s="14" t="str">
        <f ca="1">IFERROR(__xludf.DUMMYFUNCTION("""COMPUTED_VALUE"""),"TND")</f>
        <v>TND</v>
      </c>
      <c r="N107" s="14"/>
      <c r="O107" s="14" t="str">
        <f ca="1">IFERROR(__xludf.DUMMYFUNCTION("""COMPUTED_VALUE"""),"June 2021")</f>
        <v>June 2021</v>
      </c>
      <c r="P107" s="14"/>
      <c r="Q107" s="14"/>
      <c r="R107" s="14">
        <f ca="1">IFERROR(__xludf.DUMMYFUNCTION("""COMPUTED_VALUE"""),835.14)</f>
        <v>835.14</v>
      </c>
      <c r="S107" s="57">
        <f ca="1">IFERROR(__xludf.DUMMYFUNCTION("""COMPUTED_VALUE"""),0.04814761596858)</f>
        <v>4.8147615968579999E-2</v>
      </c>
    </row>
    <row r="108" spans="1:19" ht="13" x14ac:dyDescent="0.15">
      <c r="A108" s="14" t="str">
        <f ca="1">IFERROR(__xludf.DUMMYFUNCTION("""COMPUTED_VALUE"""),"TR")</f>
        <v>TR</v>
      </c>
      <c r="B108" s="54" t="str">
        <f ca="1">IFERROR(__xludf.DUMMYFUNCTION("""COMPUTED_VALUE"""),"https://www.numbeo.com/cost-of-living/country_result.jsp?country=Turkey")</f>
        <v>https://www.numbeo.com/cost-of-living/country_result.jsp?country=Turkey</v>
      </c>
      <c r="C108" s="14" t="str">
        <f ca="1">IFERROR(__xludf.DUMMYFUNCTION("""COMPUTED_VALUE"""),"Ostatnie oficjalne dane są za 2018 i raport jest co 4 lata.")</f>
        <v>Ostatnie oficjalne dane są za 2018 i raport jest co 4 lata.</v>
      </c>
      <c r="D108" s="14"/>
      <c r="E108" s="14"/>
      <c r="F108" s="14" t="str">
        <f ca="1">IFERROR(__xludf.DUMMYFUNCTION("""COMPUTED_VALUE"""),"numbeo")</f>
        <v>numbeo</v>
      </c>
      <c r="G108" s="14"/>
      <c r="H108" s="14" t="str">
        <f ca="1">IFERROR(__xludf.DUMMYFUNCTION("""COMPUTED_VALUE"""),"September 2022")</f>
        <v>September 2022</v>
      </c>
      <c r="I108" s="14" t="str">
        <f ca="1">IFERROR(__xludf.DUMMYFUNCTION("""COMPUTED_VALUE"""),"monthly")</f>
        <v>monthly</v>
      </c>
      <c r="J108" s="14"/>
      <c r="K108" s="14"/>
      <c r="L108" s="14">
        <f ca="1">IFERROR(__xludf.DUMMYFUNCTION("""COMPUTED_VALUE"""),5726.42)</f>
        <v>5726.42</v>
      </c>
      <c r="M108" s="14" t="str">
        <f ca="1">IFERROR(__xludf.DUMMYFUNCTION("""COMPUTED_VALUE"""),"TRY")</f>
        <v>TRY</v>
      </c>
      <c r="N108" s="14"/>
      <c r="O108" s="14" t="str">
        <f ca="1">IFERROR(__xludf.DUMMYFUNCTION("""COMPUTED_VALUE"""),"September 2021")</f>
        <v>September 2021</v>
      </c>
      <c r="P108" s="14"/>
      <c r="Q108" s="14"/>
      <c r="R108" s="14">
        <f ca="1">IFERROR(__xludf.DUMMYFUNCTION("""COMPUTED_VALUE"""),3629.31)</f>
        <v>3629.31</v>
      </c>
      <c r="S108" s="57">
        <f ca="1">IFERROR(__xludf.DUMMYFUNCTION("""COMPUTED_VALUE"""),0.577826088154497)</f>
        <v>0.57782608815449699</v>
      </c>
    </row>
    <row r="109" spans="1:19" ht="13" x14ac:dyDescent="0.15">
      <c r="A109" s="14" t="str">
        <f ca="1">IFERROR(__xludf.DUMMYFUNCTION("""COMPUTED_VALUE"""),"TW")</f>
        <v>TW</v>
      </c>
      <c r="B109" s="54" t="str">
        <f ca="1">IFERROR(__xludf.DUMMYFUNCTION("""COMPUTED_VALUE"""),"https://eng.stat.gov.tw/ct.asp?xItem=46197&amp;ctNode=1616&amp;mp=5")</f>
        <v>https://eng.stat.gov.tw/ct.asp?xItem=46197&amp;ctNode=1616&amp;mp=5</v>
      </c>
      <c r="C109" s="14" t="str">
        <f ca="1">IFERROR(__xludf.DUMMYFUNCTION("""COMPUTED_VALUE"""),"Co miesiąc, bierzemy z załącznika kwotę full time dla rezydentów lub obywateli bez nadgodzin (Regular!)")</f>
        <v>Co miesiąc, bierzemy z załącznika kwotę full time dla rezydentów lub obywateli bez nadgodzin (Regular!)</v>
      </c>
      <c r="D109" s="14" t="str">
        <f ca="1">IFERROR(__xludf.DUMMYFUNCTION("""COMPUTED_VALUE"""),"10 lipca 2022")</f>
        <v>10 lipca 2022</v>
      </c>
      <c r="E109" s="54" t="str">
        <f ca="1">IFERROR(__xludf.DUMMYFUNCTION("""COMPUTED_VALUE"""),"https://eng.stat.gov.tw/lp.asp?ctNode=1616&amp;CtUnit=766&amp;BaseDSD=7&amp;MP=5")</f>
        <v>https://eng.stat.gov.tw/lp.asp?ctNode=1616&amp;CtUnit=766&amp;BaseDSD=7&amp;MP=5</v>
      </c>
      <c r="F109" s="14" t="str">
        <f ca="1">IFERROR(__xludf.DUMMYFUNCTION("""COMPUTED_VALUE"""),"Urząd Statystyczny")</f>
        <v>Urząd Statystyczny</v>
      </c>
      <c r="G109" s="54" t="str">
        <f ca="1">IFERROR(__xludf.DUMMYFUNCTION("""COMPUTED_VALUE"""),"https://tw.talent.com/en/tax-calculator?salary=54238&amp;from=month&amp;region=Taiwan")</f>
        <v>https://tw.talent.com/en/tax-calculator?salary=54238&amp;from=month&amp;region=Taiwan</v>
      </c>
      <c r="H109" s="14" t="str">
        <f ca="1">IFERROR(__xludf.DUMMYFUNCTION("""COMPUTED_VALUE"""),"1/2 2022")</f>
        <v>1/2 2022</v>
      </c>
      <c r="I109" s="14" t="str">
        <f ca="1">IFERROR(__xludf.DUMMYFUNCTION("""COMPUTED_VALUE"""),"monthly")</f>
        <v>monthly</v>
      </c>
      <c r="J109" s="14">
        <f ca="1">IFERROR(__xludf.DUMMYFUNCTION("""COMPUTED_VALUE"""),46607)</f>
        <v>46607</v>
      </c>
      <c r="K109" s="14" t="str">
        <f ca="1">IFERROR(__xludf.DUMMYFUNCTION("""COMPUTED_VALUE"""),"TWD")</f>
        <v>TWD</v>
      </c>
      <c r="L109" s="59">
        <f ca="1">IFERROR(__xludf.DUMMYFUNCTION("""COMPUTED_VALUE"""),42718)</f>
        <v>42718</v>
      </c>
      <c r="M109" s="14" t="str">
        <f ca="1">IFERROR(__xludf.DUMMYFUNCTION("""COMPUTED_VALUE"""),"TWD")</f>
        <v>TWD</v>
      </c>
      <c r="N109" s="14"/>
      <c r="O109" s="14" t="str">
        <f ca="1">IFERROR(__xludf.DUMMYFUNCTION("""COMPUTED_VALUE"""),"1/2 2021")</f>
        <v>1/2 2021</v>
      </c>
      <c r="P109" s="14">
        <f ca="1">IFERROR(__xludf.DUMMYFUNCTION("""COMPUTED_VALUE"""),45195)</f>
        <v>45195</v>
      </c>
      <c r="Q109" s="14"/>
      <c r="R109" s="59">
        <f ca="1">IFERROR(__xludf.DUMMYFUNCTION("""COMPUTED_VALUE"""),42935.25)</f>
        <v>42935.25</v>
      </c>
      <c r="S109" s="57">
        <f ca="1">IFERROR(__xludf.DUMMYFUNCTION("""COMPUTED_VALUE"""),-0.0050599449170553)</f>
        <v>-5.0599449170553E-3</v>
      </c>
    </row>
    <row r="110" spans="1:19" ht="13" x14ac:dyDescent="0.15">
      <c r="A110" s="14" t="str">
        <f ca="1">IFERROR(__xludf.DUMMYFUNCTION("""COMPUTED_VALUE"""),"TZ")</f>
        <v>TZ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57" t="str">
        <f ca="1">IFERROR(__xludf.DUMMYFUNCTION("""COMPUTED_VALUE"""),"")</f>
        <v/>
      </c>
    </row>
    <row r="111" spans="1:19" ht="13" x14ac:dyDescent="0.15">
      <c r="A111" s="14" t="str">
        <f ca="1">IFERROR(__xludf.DUMMYFUNCTION("""COMPUTED_VALUE"""),"UA")</f>
        <v>UA</v>
      </c>
      <c r="B111" s="54" t="str">
        <f ca="1">IFERROR(__xludf.DUMMYFUNCTION("""COMPUTED_VALUE"""),"https://www.pfu.gov.ua/2152284-pokaznyk-serednoyi-zarobitnoyi-platy-za-2022-rik/")</f>
        <v>https://www.pfu.gov.ua/2152284-pokaznyk-serednoyi-zarobitnoyi-platy-za-2022-rik/</v>
      </c>
      <c r="C111" s="14" t="str">
        <f ca="1">IFERROR(__xludf.DUMMYFUNCTION("""COMPUTED_VALUE"""),"co miesiąc")</f>
        <v>co miesiąc</v>
      </c>
      <c r="D111" s="58">
        <f ca="1">IFERROR(__xludf.DUMMYFUNCTION("""COMPUTED_VALUE"""),44436)</f>
        <v>44436</v>
      </c>
      <c r="E111" s="54" t="str">
        <f ca="1">IFERROR(__xludf.DUMMYFUNCTION("""COMPUTED_VALUE"""),"http://www.ukrstat.gov.ua")</f>
        <v>http://www.ukrstat.gov.ua</v>
      </c>
      <c r="F111" s="14" t="str">
        <f ca="1">IFERROR(__xludf.DUMMYFUNCTION("""COMPUTED_VALUE"""),"Urząd Statystyczny")</f>
        <v>Urząd Statystyczny</v>
      </c>
      <c r="G111" s="54" t="str">
        <f ca="1">IFERROR(__xludf.DUMMYFUNCTION("""COMPUTED_VALUE"""),"https://finance.ua/ru/calc/salary")</f>
        <v>https://finance.ua/ru/calc/salary</v>
      </c>
      <c r="H111" s="14" t="str">
        <f ca="1">IFERROR(__xludf.DUMMYFUNCTION("""COMPUTED_VALUE"""),"June 2022")</f>
        <v>June 2022</v>
      </c>
      <c r="I111" s="14" t="str">
        <f ca="1">IFERROR(__xludf.DUMMYFUNCTION("""COMPUTED_VALUE"""),"monthly")</f>
        <v>monthly</v>
      </c>
      <c r="J111" s="14">
        <f ca="1">IFERROR(__xludf.DUMMYFUNCTION("""COMPUTED_VALUE"""),13957.63)</f>
        <v>13957.63</v>
      </c>
      <c r="K111" s="14" t="str">
        <f ca="1">IFERROR(__xludf.DUMMYFUNCTION("""COMPUTED_VALUE"""),"UAH")</f>
        <v>UAH</v>
      </c>
      <c r="L111" s="59">
        <f ca="1">IFERROR(__xludf.DUMMYFUNCTION("""COMPUTED_VALUE"""),11235.89)</f>
        <v>11235.89</v>
      </c>
      <c r="M111" s="14" t="str">
        <f ca="1">IFERROR(__xludf.DUMMYFUNCTION("""COMPUTED_VALUE"""),"UAH")</f>
        <v>UAH</v>
      </c>
      <c r="N111" s="14"/>
      <c r="O111" s="14" t="str">
        <f ca="1">IFERROR(__xludf.DUMMYFUNCTION("""COMPUTED_VALUE"""),"Aug 2021")</f>
        <v>Aug 2021</v>
      </c>
      <c r="P111" s="14">
        <f ca="1">IFERROR(__xludf.DUMMYFUNCTION("""COMPUTED_VALUE"""),13997)</f>
        <v>13997</v>
      </c>
      <c r="Q111" s="14"/>
      <c r="R111" s="14">
        <f ca="1">IFERROR(__xludf.DUMMYFUNCTION("""COMPUTED_VALUE"""),11267.58)</f>
        <v>11267.58</v>
      </c>
      <c r="S111" s="57">
        <f ca="1">IFERROR(__xludf.DUMMYFUNCTION("""COMPUTED_VALUE"""),-0.00281249389842364)</f>
        <v>-2.8124938984236398E-3</v>
      </c>
    </row>
    <row r="112" spans="1:19" ht="13" x14ac:dyDescent="0.15">
      <c r="A112" s="14" t="str">
        <f ca="1">IFERROR(__xludf.DUMMYFUNCTION("""COMPUTED_VALUE"""),"UG")</f>
        <v>UG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57" t="str">
        <f ca="1">IFERROR(__xludf.DUMMYFUNCTION("""COMPUTED_VALUE"""),"")</f>
        <v/>
      </c>
    </row>
    <row r="113" spans="1:19" ht="13" x14ac:dyDescent="0.15">
      <c r="A113" s="14" t="str">
        <f ca="1">IFERROR(__xludf.DUMMYFUNCTION("""COMPUTED_VALUE"""),"UK")</f>
        <v>UK</v>
      </c>
      <c r="B113" s="54" t="str">
        <f ca="1">IFERROR(__xludf.DUMMYFUNCTION("""COMPUTED_VALUE"""),"https://www.ons.gov.uk/employmentandlabourmarket/peopleinwork/earningsandworkinghours/datasets/averageweeklyearningsearn01")</f>
        <v>https://www.ons.gov.uk/employmentandlabourmarket/peopleinwork/earningsandworkinghours/datasets/averageweeklyearningsearn01</v>
      </c>
      <c r="C113" s="14" t="str">
        <f ca="1">IFERROR(__xludf.DUMMYFUNCTION("""COMPUTED_VALUE"""),"co miesiąc")</f>
        <v>co miesiąc</v>
      </c>
      <c r="D113" s="14" t="str">
        <f ca="1">IFERROR(__xludf.DUMMYFUNCTION("""COMPUTED_VALUE"""),"15 lipca 2021")</f>
        <v>15 lipca 2021</v>
      </c>
      <c r="E113" s="54" t="str">
        <f ca="1">IFERROR(__xludf.DUMMYFUNCTION("""COMPUTED_VALUE"""),"https://www.ons.gov.uk/employmentandlabourmarket/peopleinwork/employmentandemployeetypes/bulletins/averageweeklyearningsingreatbritain/latest")</f>
        <v>https://www.ons.gov.uk/employmentandlabourmarket/peopleinwork/employmentandemployeetypes/bulletins/averageweeklyearningsingreatbritain/latest</v>
      </c>
      <c r="F113" s="14" t="str">
        <f ca="1">IFERROR(__xludf.DUMMYFUNCTION("""COMPUTED_VALUE"""),"Urząd Statystyczny")</f>
        <v>Urząd Statystyczny</v>
      </c>
      <c r="G113" s="54" t="str">
        <f ca="1">IFERROR(__xludf.DUMMYFUNCTION("""COMPUTED_VALUE"""),"https://salaryaftertax.com/salary-calculator/uk")</f>
        <v>https://salaryaftertax.com/salary-calculator/uk</v>
      </c>
      <c r="H113" s="14" t="str">
        <f ca="1">IFERROR(__xludf.DUMMYFUNCTION("""COMPUTED_VALUE"""),"August 2022")</f>
        <v>August 2022</v>
      </c>
      <c r="I113" s="14" t="str">
        <f ca="1">IFERROR(__xludf.DUMMYFUNCTION("""COMPUTED_VALUE"""),"monthly")</f>
        <v>monthly</v>
      </c>
      <c r="J113" s="14" t="str">
        <f ca="1">IFERROR(__xludf.DUMMYFUNCTION("""COMPUTED_VALUE"""),"611 / week")</f>
        <v>611 / week</v>
      </c>
      <c r="K113" s="14" t="str">
        <f ca="1">IFERROR(__xludf.DUMMYFUNCTION("""COMPUTED_VALUE"""),"GBP")</f>
        <v>GBP</v>
      </c>
      <c r="L113" s="14">
        <f ca="1">IFERROR(__xludf.DUMMYFUNCTION("""COMPUTED_VALUE"""),2065.66)</f>
        <v>2065.66</v>
      </c>
      <c r="M113" s="14" t="str">
        <f ca="1">IFERROR(__xludf.DUMMYFUNCTION("""COMPUTED_VALUE"""),"GBP")</f>
        <v>GBP</v>
      </c>
      <c r="N113" s="14"/>
      <c r="O113" s="14" t="str">
        <f ca="1">IFERROR(__xludf.DUMMYFUNCTION("""COMPUTED_VALUE"""),"Sep 2021")</f>
        <v>Sep 2021</v>
      </c>
      <c r="P113" s="14" t="str">
        <f ca="1">IFERROR(__xludf.DUMMYFUNCTION("""COMPUTED_VALUE"""),"542 / week")</f>
        <v>542 / week</v>
      </c>
      <c r="Q113" s="14"/>
      <c r="R113" s="14">
        <f ca="1">IFERROR(__xludf.DUMMYFUNCTION("""COMPUTED_VALUE"""),438.99)</f>
        <v>438.99</v>
      </c>
      <c r="S113" s="57">
        <f ca="1">IFERROR(__xludf.DUMMYFUNCTION("""COMPUTED_VALUE"""),3.70548304061595)</f>
        <v>3.7054830406159498</v>
      </c>
    </row>
    <row r="114" spans="1:19" ht="13" x14ac:dyDescent="0.15">
      <c r="A114" s="14" t="str">
        <f ca="1">IFERROR(__xludf.DUMMYFUNCTION("""COMPUTED_VALUE"""),"US")</f>
        <v>US</v>
      </c>
      <c r="B114" s="54" t="str">
        <f ca="1">IFERROR(__xludf.DUMMYFUNCTION("""COMPUTED_VALUE"""),"https://www.bls.gov/oes/current/oes_nat.htm")</f>
        <v>https://www.bls.gov/oes/current/oes_nat.htm</v>
      </c>
      <c r="C114" s="14"/>
      <c r="D114" s="14"/>
      <c r="E114" s="14"/>
      <c r="F114" s="14" t="str">
        <f ca="1">IFERROR(__xludf.DUMMYFUNCTION("""COMPUTED_VALUE"""),"Urząd Statystyczny")</f>
        <v>Urząd Statystyczny</v>
      </c>
      <c r="G114" s="54" t="str">
        <f ca="1">IFERROR(__xludf.DUMMYFUNCTION("""COMPUTED_VALUE"""),"https://goodcalculators.com/us-salary-tax-calculator/")</f>
        <v>https://goodcalculators.com/us-salary-tax-calculator/</v>
      </c>
      <c r="H114" s="14" t="str">
        <f ca="1">IFERROR(__xludf.DUMMYFUNCTION("""COMPUTED_VALUE"""),"May 2021")</f>
        <v>May 2021</v>
      </c>
      <c r="I114" s="14" t="str">
        <f ca="1">IFERROR(__xludf.DUMMYFUNCTION("""COMPUTED_VALUE"""),"monthly")</f>
        <v>monthly</v>
      </c>
      <c r="J114" s="14" t="str">
        <f ca="1">IFERROR(__xludf.DUMMYFUNCTION("""COMPUTED_VALUE"""),"58,260 / year")</f>
        <v>58,260 / year</v>
      </c>
      <c r="K114" s="14" t="str">
        <f ca="1">IFERROR(__xludf.DUMMYFUNCTION("""COMPUTED_VALUE"""),"USD")</f>
        <v>USD</v>
      </c>
      <c r="L114" s="14">
        <f ca="1">IFERROR(__xludf.DUMMYFUNCTION("""COMPUTED_VALUE"""),4018.21)</f>
        <v>4018.21</v>
      </c>
      <c r="M114" s="14" t="str">
        <f ca="1">IFERROR(__xludf.DUMMYFUNCTION("""COMPUTED_VALUE"""),"USD")</f>
        <v>USD</v>
      </c>
      <c r="N114" s="14"/>
      <c r="O114" s="14" t="str">
        <f ca="1">IFERROR(__xludf.DUMMYFUNCTION("""COMPUTED_VALUE"""),"May 2020")</f>
        <v>May 2020</v>
      </c>
      <c r="P114" s="14" t="str">
        <f ca="1">IFERROR(__xludf.DUMMYFUNCTION("""COMPUTED_VALUE"""),"56310 / year")</f>
        <v>56310 / year</v>
      </c>
      <c r="Q114" s="14"/>
      <c r="R114" s="14">
        <f ca="1">IFERROR(__xludf.DUMMYFUNCTION("""COMPUTED_VALUE"""),46626.58)</f>
        <v>46626.58</v>
      </c>
      <c r="S114" s="57">
        <f ca="1">IFERROR(__xludf.DUMMYFUNCTION("""COMPUTED_VALUE"""),-0.913821472645002)</f>
        <v>-0.91382147264500202</v>
      </c>
    </row>
    <row r="115" spans="1:19" ht="13" x14ac:dyDescent="0.15">
      <c r="A115" s="14" t="str">
        <f ca="1">IFERROR(__xludf.DUMMYFUNCTION("""COMPUTED_VALUE"""),"UY")</f>
        <v>UY</v>
      </c>
      <c r="B115" s="54" t="str">
        <f ca="1">IFERROR(__xludf.DUMMYFUNCTION("""COMPUTED_VALUE"""),"https://www.numbeo.com/cost-of-living/country_result.jsp?country=Uruguay")</f>
        <v>https://www.numbeo.com/cost-of-living/country_result.jsp?country=Uruguay</v>
      </c>
      <c r="C115" s="14"/>
      <c r="D115" s="14"/>
      <c r="E115" s="14"/>
      <c r="F115" s="14" t="str">
        <f ca="1">IFERROR(__xludf.DUMMYFUNCTION("""COMPUTED_VALUE"""),"numbeo")</f>
        <v>numbeo</v>
      </c>
      <c r="G115" s="14"/>
      <c r="H115" s="14" t="str">
        <f ca="1">IFERROR(__xludf.DUMMYFUNCTION("""COMPUTED_VALUE"""),"September 2022")</f>
        <v>September 2022</v>
      </c>
      <c r="I115" s="14" t="str">
        <f ca="1">IFERROR(__xludf.DUMMYFUNCTION("""COMPUTED_VALUE"""),"monthly")</f>
        <v>monthly</v>
      </c>
      <c r="J115" s="14"/>
      <c r="K115" s="14"/>
      <c r="L115" s="14">
        <f ca="1">IFERROR(__xludf.DUMMYFUNCTION("""COMPUTED_VALUE"""),30689.06)</f>
        <v>30689.06</v>
      </c>
      <c r="M115" s="14" t="str">
        <f ca="1">IFERROR(__xludf.DUMMYFUNCTION("""COMPUTED_VALUE"""),"UYU")</f>
        <v>UYU</v>
      </c>
      <c r="N115" s="14"/>
      <c r="O115" s="14" t="str">
        <f ca="1">IFERROR(__xludf.DUMMYFUNCTION("""COMPUTED_VALUE"""),"December 2021")</f>
        <v>December 2021</v>
      </c>
      <c r="P115" s="14"/>
      <c r="Q115" s="14"/>
      <c r="R115" s="14">
        <f ca="1">IFERROR(__xludf.DUMMYFUNCTION("""COMPUTED_VALUE"""),26866)</f>
        <v>26866</v>
      </c>
      <c r="S115" s="57">
        <f ca="1">IFERROR(__xludf.DUMMYFUNCTION("""COMPUTED_VALUE"""),0.142301049653837)</f>
        <v>0.142301049653837</v>
      </c>
    </row>
    <row r="116" spans="1:19" ht="13" x14ac:dyDescent="0.15">
      <c r="A116" s="14" t="str">
        <f ca="1">IFERROR(__xludf.DUMMYFUNCTION("""COMPUTED_VALUE"""),"UZ")</f>
        <v>UZ</v>
      </c>
      <c r="B116" s="54" t="str">
        <f ca="1">IFERROR(__xludf.DUMMYFUNCTION("""COMPUTED_VALUE"""),"https://www.stat.uz/ru/ofitsialnaya-statistika/labor-market")</f>
        <v>https://www.stat.uz/ru/ofitsialnaya-statistika/labor-market</v>
      </c>
      <c r="C116" s="14"/>
      <c r="D116" s="14"/>
      <c r="E116" s="14"/>
      <c r="F116" s="14"/>
      <c r="G116" s="14" t="str">
        <f ca="1">IFERROR(__xludf.DUMMYFUNCTION("""COMPUTED_VALUE"""),"НДФЛ = 12%, ИНПС = 0,1%. Каждый год проверять, не поменялись ли проценты.")</f>
        <v>НДФЛ = 12%, ИНПС = 0,1%. Каждый год проверять, не поменялись ли проценты.</v>
      </c>
      <c r="H116" s="14" t="str">
        <f ca="1">IFERROR(__xludf.DUMMYFUNCTION("""COMPUTED_VALUE"""),"Q1/2022")</f>
        <v>Q1/2022</v>
      </c>
      <c r="I116" s="14" t="str">
        <f ca="1">IFERROR(__xludf.DUMMYFUNCTION("""COMPUTED_VALUE"""),"monthly")</f>
        <v>monthly</v>
      </c>
      <c r="J116" s="14">
        <f ca="1">IFERROR(__xludf.DUMMYFUNCTION("""COMPUTED_VALUE"""),3426827.6)</f>
        <v>3426827.6</v>
      </c>
      <c r="K116" s="14" t="str">
        <f ca="1">IFERROR(__xludf.DUMMYFUNCTION("""COMPUTED_VALUE"""),"UZS")</f>
        <v>UZS</v>
      </c>
      <c r="L116" s="14">
        <f ca="1">IFERROR(__xludf.DUMMYFUNCTION("""COMPUTED_VALUE"""),3012181.4604)</f>
        <v>3012181.4604000002</v>
      </c>
      <c r="M116" s="14" t="str">
        <f ca="1">IFERROR(__xludf.DUMMYFUNCTION("""COMPUTED_VALUE"""),"UZS")</f>
        <v>UZS</v>
      </c>
      <c r="N116" s="14"/>
      <c r="O116" s="14" t="str">
        <f ca="1">IFERROR(__xludf.DUMMYFUNCTION("""COMPUTED_VALUE"""),"Q4/2021")</f>
        <v>Q4/2021</v>
      </c>
      <c r="P116" s="14">
        <f ca="1">IFERROR(__xludf.DUMMYFUNCTION("""COMPUTED_VALUE"""),3208224.2)</f>
        <v>3208224.2</v>
      </c>
      <c r="Q116" s="14"/>
      <c r="R116" s="14">
        <f ca="1">IFERROR(__xludf.DUMMYFUNCTION("""COMPUTED_VALUE"""),2820029.0718)</f>
        <v>2820029.0718</v>
      </c>
      <c r="S116" s="57">
        <f ca="1">IFERROR(__xludf.DUMMYFUNCTION("""COMPUTED_VALUE"""),0.0681384424442657)</f>
        <v>6.8138442444265701E-2</v>
      </c>
    </row>
    <row r="117" spans="1:19" ht="13" x14ac:dyDescent="0.15">
      <c r="A117" s="14" t="str">
        <f ca="1">IFERROR(__xludf.DUMMYFUNCTION("""COMPUTED_VALUE"""),"VE")</f>
        <v>VE</v>
      </c>
      <c r="B117" s="54" t="str">
        <f ca="1">IFERROR(__xludf.DUMMYFUNCTION("""COMPUTED_VALUE"""),"https://observatoriodefinanzas.com/wp-content/uploads/Presentacio%CC%81n-IRT-13ABR21-min.pdf")</f>
        <v>https://observatoriodefinanzas.com/wp-content/uploads/Presentacio%CC%81n-IRT-13ABR21-min.pdf</v>
      </c>
      <c r="C117" s="14"/>
      <c r="D117" s="14"/>
      <c r="E117" s="14"/>
      <c r="F117" s="14" t="str">
        <f ca="1">IFERROR(__xludf.DUMMYFUNCTION("""COMPUTED_VALUE"""),"inne")</f>
        <v>inne</v>
      </c>
      <c r="G117" s="14"/>
      <c r="H117" s="14" t="str">
        <f ca="1">IFERROR(__xludf.DUMMYFUNCTION("""COMPUTED_VALUE"""),"Jan 2021")</f>
        <v>Jan 2021</v>
      </c>
      <c r="I117" s="14" t="str">
        <f ca="1">IFERROR(__xludf.DUMMYFUNCTION("""COMPUTED_VALUE"""),"monthly")</f>
        <v>monthly</v>
      </c>
      <c r="J117" s="14"/>
      <c r="K117" s="14"/>
      <c r="L117" s="14">
        <f ca="1">IFERROR(__xludf.DUMMYFUNCTION("""COMPUTED_VALUE"""),55.5)</f>
        <v>55.5</v>
      </c>
      <c r="M117" s="14" t="str">
        <f ca="1">IFERROR(__xludf.DUMMYFUNCTION("""COMPUTED_VALUE"""),"USD")</f>
        <v>USD</v>
      </c>
      <c r="N117" s="14"/>
      <c r="O117" s="14" t="str">
        <f ca="1">IFERROR(__xludf.DUMMYFUNCTION("""COMPUTED_VALUE"""),"Jan 2021")</f>
        <v>Jan 2021</v>
      </c>
      <c r="P117" s="14"/>
      <c r="Q117" s="14"/>
      <c r="R117" s="14">
        <f ca="1">IFERROR(__xludf.DUMMYFUNCTION("""COMPUTED_VALUE"""),55.5)</f>
        <v>55.5</v>
      </c>
      <c r="S117" s="57">
        <f ca="1">IFERROR(__xludf.DUMMYFUNCTION("""COMPUTED_VALUE"""),0)</f>
        <v>0</v>
      </c>
    </row>
    <row r="118" spans="1:19" ht="13" x14ac:dyDescent="0.15">
      <c r="A118" s="14" t="str">
        <f ca="1">IFERROR(__xludf.DUMMYFUNCTION("""COMPUTED_VALUE"""),"VN")</f>
        <v>VN</v>
      </c>
      <c r="B118" s="54" t="str">
        <f ca="1">IFERROR(__xludf.DUMMYFUNCTION("""COMPUTED_VALUE"""),"https://www.numbeo.com/cost-of-living/country_result.jsp?country=Vietnam")</f>
        <v>https://www.numbeo.com/cost-of-living/country_result.jsp?country=Vietnam</v>
      </c>
      <c r="C118" s="14"/>
      <c r="D118" s="14"/>
      <c r="E118" s="14"/>
      <c r="F118" s="14" t="str">
        <f ca="1">IFERROR(__xludf.DUMMYFUNCTION("""COMPUTED_VALUE"""),"numbeo")</f>
        <v>numbeo</v>
      </c>
      <c r="G118" s="14"/>
      <c r="H118" s="14" t="str">
        <f ca="1">IFERROR(__xludf.DUMMYFUNCTION("""COMPUTED_VALUE"""),"September 2022")</f>
        <v>September 2022</v>
      </c>
      <c r="I118" s="14" t="str">
        <f ca="1">IFERROR(__xludf.DUMMYFUNCTION("""COMPUTED_VALUE"""),"monthly")</f>
        <v>monthly</v>
      </c>
      <c r="J118" s="14"/>
      <c r="K118" s="14"/>
      <c r="L118" s="14">
        <f ca="1">IFERROR(__xludf.DUMMYFUNCTION("""COMPUTED_VALUE"""),10422661.37)</f>
        <v>10422661.369999999</v>
      </c>
      <c r="M118" s="14" t="str">
        <f ca="1">IFERROR(__xludf.DUMMYFUNCTION("""COMPUTED_VALUE"""),"VND")</f>
        <v>VND</v>
      </c>
      <c r="N118" s="14"/>
      <c r="O118" s="14" t="str">
        <f ca="1">IFERROR(__xludf.DUMMYFUNCTION("""COMPUTED_VALUE"""),"October 2021")</f>
        <v>October 2021</v>
      </c>
      <c r="P118" s="14"/>
      <c r="Q118" s="14"/>
      <c r="R118" s="14">
        <f ca="1">IFERROR(__xludf.DUMMYFUNCTION("""COMPUTED_VALUE"""),10231566)</f>
        <v>10231566</v>
      </c>
      <c r="S118" s="57">
        <f ca="1">IFERROR(__xludf.DUMMYFUNCTION("""COMPUTED_VALUE"""),0.0186770402497524)</f>
        <v>1.8677040249752402E-2</v>
      </c>
    </row>
    <row r="119" spans="1:19" ht="13" x14ac:dyDescent="0.15">
      <c r="A119" s="14" t="str">
        <f ca="1">IFERROR(__xludf.DUMMYFUNCTION("""COMPUTED_VALUE"""),"XK")</f>
        <v>XK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57" t="str">
        <f ca="1">IFERROR(__xludf.DUMMYFUNCTION("""COMPUTED_VALUE"""),"")</f>
        <v/>
      </c>
    </row>
    <row r="120" spans="1:19" ht="13" x14ac:dyDescent="0.15">
      <c r="A120" s="14" t="str">
        <f ca="1">IFERROR(__xludf.DUMMYFUNCTION("""COMPUTED_VALUE"""),"ZA")</f>
        <v>ZA</v>
      </c>
      <c r="B120" s="54" t="str">
        <f ca="1">IFERROR(__xludf.DUMMYFUNCTION("""COMPUTED_VALUE"""),"http://www.statssa.gov.za/?page_id=1854&amp;PPN=P0277")</f>
        <v>http://www.statssa.gov.za/?page_id=1854&amp;PPN=P0277</v>
      </c>
      <c r="C120" s="14"/>
      <c r="D120" s="14" t="str">
        <f ca="1">IFERROR(__xludf.DUMMYFUNCTION("""COMPUTED_VALUE"""),"29 June 2021")</f>
        <v>29 June 2021</v>
      </c>
      <c r="E120" s="54" t="str">
        <f ca="1">IFERROR(__xludf.DUMMYFUNCTION("""COMPUTED_VALUE"""),"http://www.statssa.gov.za/publications/P0277/P0277September2020.pdf")</f>
        <v>http://www.statssa.gov.za/publications/P0277/P0277September2020.pdf</v>
      </c>
      <c r="F120" s="14" t="str">
        <f ca="1">IFERROR(__xludf.DUMMYFUNCTION("""COMPUTED_VALUE"""),"Urząd Statystyczny")</f>
        <v>Urząd Statystyczny</v>
      </c>
      <c r="G120" s="54" t="str">
        <f ca="1">IFERROR(__xludf.DUMMYFUNCTION("""COMPUTED_VALUE"""),"https://www.taxtim.com/za/calculators/income-tax?mmi")</f>
        <v>https://www.taxtim.com/za/calculators/income-tax?mmi</v>
      </c>
      <c r="H120" s="14" t="str">
        <f ca="1">IFERROR(__xludf.DUMMYFUNCTION("""COMPUTED_VALUE"""),"February 2022")</f>
        <v>February 2022</v>
      </c>
      <c r="I120" s="14" t="str">
        <f ca="1">IFERROR(__xludf.DUMMYFUNCTION("""COMPUTED_VALUE"""),"monthly")</f>
        <v>monthly</v>
      </c>
      <c r="J120" s="14">
        <f ca="1">IFERROR(__xludf.DUMMYFUNCTION("""COMPUTED_VALUE"""),23502)</f>
        <v>23502</v>
      </c>
      <c r="K120" s="14" t="str">
        <f ca="1">IFERROR(__xludf.DUMMYFUNCTION("""COMPUTED_VALUE"""),"ZAR")</f>
        <v>ZAR</v>
      </c>
      <c r="L120" s="14">
        <f ca="1">IFERROR(__xludf.DUMMYFUNCTION("""COMPUTED_VALUE"""),20089)</f>
        <v>20089</v>
      </c>
      <c r="M120" s="14" t="str">
        <f ca="1">IFERROR(__xludf.DUMMYFUNCTION("""COMPUTED_VALUE"""),"ZAR")</f>
        <v>ZAR</v>
      </c>
      <c r="N120" s="14"/>
      <c r="O120" s="14" t="str">
        <f ca="1">IFERROR(__xludf.DUMMYFUNCTION("""COMPUTED_VALUE"""),"May 2021")</f>
        <v>May 2021</v>
      </c>
      <c r="P120" s="14">
        <f ca="1">IFERROR(__xludf.DUMMYFUNCTION("""COMPUTED_VALUE"""),23526)</f>
        <v>23526</v>
      </c>
      <c r="Q120" s="14"/>
      <c r="R120" s="14">
        <f ca="1">IFERROR(__xludf.DUMMYFUNCTION("""COMPUTED_VALUE"""),20160)</f>
        <v>20160</v>
      </c>
      <c r="S120" s="57">
        <f ca="1">IFERROR(__xludf.DUMMYFUNCTION("""COMPUTED_VALUE"""),-0.00352182539682544)</f>
        <v>-3.5218253968254398E-3</v>
      </c>
    </row>
    <row r="121" spans="1:19" ht="13" x14ac:dyDescent="0.15">
      <c r="A121" s="14" t="str">
        <f ca="1">IFERROR(__xludf.DUMMYFUNCTION("""COMPUTED_VALUE"""),"ZM")</f>
        <v>ZM</v>
      </c>
      <c r="B121" s="54" t="str">
        <f ca="1">IFERROR(__xludf.DUMMYFUNCTION("""COMPUTED_VALUE"""),"https://www.newzimbabwe.com/mavima-pushes-for-fair-salaries/")</f>
        <v>https://www.newzimbabwe.com/mavima-pushes-for-fair-salaries/</v>
      </c>
      <c r="C121" s="14"/>
      <c r="D121" s="14"/>
      <c r="E121" s="14"/>
      <c r="F121" s="14" t="str">
        <f ca="1">IFERROR(__xludf.DUMMYFUNCTION("""COMPUTED_VALUE"""),"Artykuł w necie")</f>
        <v>Artykuł w necie</v>
      </c>
      <c r="G121" s="54" t="str">
        <f ca="1">IFERROR(__xludf.DUMMYFUNCTION("""COMPUTED_VALUE"""),"https://www.zra.org.zm/calculate-paye/")</f>
        <v>https://www.zra.org.zm/calculate-paye/</v>
      </c>
      <c r="H121" s="14">
        <f ca="1">IFERROR(__xludf.DUMMYFUNCTION("""COMPUTED_VALUE"""),2022)</f>
        <v>2022</v>
      </c>
      <c r="I121" s="14" t="str">
        <f ca="1">IFERROR(__xludf.DUMMYFUNCTION("""COMPUTED_VALUE"""),"monthly")</f>
        <v>monthly</v>
      </c>
      <c r="J121" s="14">
        <f ca="1">IFERROR(__xludf.DUMMYFUNCTION("""COMPUTED_VALUE"""),4393)</f>
        <v>4393</v>
      </c>
      <c r="K121" s="14" t="str">
        <f ca="1">IFERROR(__xludf.DUMMYFUNCTION("""COMPUTED_VALUE"""),"ZMW")</f>
        <v>ZMW</v>
      </c>
      <c r="L121" s="14">
        <f ca="1">IFERROR(__xludf.DUMMYFUNCTION("""COMPUTED_VALUE"""),4129.42)</f>
        <v>4129.42</v>
      </c>
      <c r="M121" s="14" t="str">
        <f ca="1">IFERROR(__xludf.DUMMYFUNCTION("""COMPUTED_VALUE"""),"ZMW")</f>
        <v>ZMW</v>
      </c>
      <c r="N121" s="14"/>
      <c r="O121" s="14">
        <f ca="1">IFERROR(__xludf.DUMMYFUNCTION("""COMPUTED_VALUE"""),2019)</f>
        <v>2019</v>
      </c>
      <c r="P121" s="14">
        <f ca="1">IFERROR(__xludf.DUMMYFUNCTION("""COMPUTED_VALUE"""),4010)</f>
        <v>4010</v>
      </c>
      <c r="Q121" s="14"/>
      <c r="R121" s="14">
        <f ca="1">IFERROR(__xludf.DUMMYFUNCTION("""COMPUTED_VALUE"""),3766.9)</f>
        <v>3766.9</v>
      </c>
      <c r="S121" s="57">
        <f ca="1">IFERROR(__xludf.DUMMYFUNCTION("""COMPUTED_VALUE"""),0.0962382861238684)</f>
        <v>9.6238286123868394E-2</v>
      </c>
    </row>
  </sheetData>
  <hyperlinks>
    <hyperlink ref="B2" r:id="rId1" location="/estadistica-en/pages/estadistiques-i-dades-detall?Idioma=en&amp;N2=641&amp;N3=650&amp;DV=409" display="https://www.estadistica.ad/portal/apps/sites/ - /estadistica-en/pages/estadistiques-i-dades-detall?Idioma=en&amp;N2=641&amp;N3=650&amp;DV=409" xr:uid="{00000000-0004-0000-0600-000000000000}"/>
    <hyperlink ref="B3" r:id="rId2" display="https://www.numbeo.com/cost-of-living/country_result.jsp?country=United+Arab+Emirates" xr:uid="{00000000-0004-0000-0600-000001000000}"/>
    <hyperlink ref="B4" r:id="rId3" display="http://www.instat.gov.al/en/themes/labour-market-and-education/wages/" xr:uid="{00000000-0004-0000-0600-000002000000}"/>
    <hyperlink ref="E4" r:id="rId4" display="http://www.instat.gov.al/en/themes/labour-market-and-education/wages/" xr:uid="{00000000-0004-0000-0600-000003000000}"/>
    <hyperlink ref="B5" r:id="rId5" display="https://www.armstat.am/ru/?nid=12&amp;id=08001" xr:uid="{00000000-0004-0000-0600-000004000000}"/>
    <hyperlink ref="E5" r:id="rId6" display="https://armstat.am/nsdp/arc/" xr:uid="{00000000-0004-0000-0600-000005000000}"/>
    <hyperlink ref="B6" r:id="rId7" display="https://www.indec.gob.ar/uploads/informesdeprensa/ingresos_1trim225FA3D2E6CC.pdf" xr:uid="{00000000-0004-0000-0600-000006000000}"/>
    <hyperlink ref="E6" r:id="rId8" display="https://www.indec.gob.ar/indec/web/Calendario-Fecha-0" xr:uid="{00000000-0004-0000-0600-000007000000}"/>
    <hyperlink ref="G6" r:id="rId9" display="https://calcularsueldo.com.ar/sueldoneto.html" xr:uid="{00000000-0004-0000-0600-000008000000}"/>
    <hyperlink ref="B7" r:id="rId10" display="https://www.statistik.at/statistiken/bevoelkerung-und-soziales/einkommen-und-soziale-lage/nettomonatseinkommen" xr:uid="{00000000-0004-0000-0600-000009000000}"/>
    <hyperlink ref="B8" r:id="rId11" display="https://www.abs.gov.au/ausstats/abs@.nsf/mf/6302.0" xr:uid="{00000000-0004-0000-0600-00000A000000}"/>
    <hyperlink ref="E8" r:id="rId12" display="https://www.abs.gov.au/ausstats/abs@.nsf/mf/6302.0" xr:uid="{00000000-0004-0000-0600-00000B000000}"/>
    <hyperlink ref="G8" r:id="rId13" display="https://paycalculator.com.au/" xr:uid="{00000000-0004-0000-0600-00000C000000}"/>
    <hyperlink ref="B9" r:id="rId14" display="https://www.stat.gov.az/news/macroeconomy.php?page=1&amp;lang=en" xr:uid="{00000000-0004-0000-0600-00000D000000}"/>
    <hyperlink ref="E9" r:id="rId15" location="003" display="https://www.stat.gov.az/menu/4/publications/indexen.php - 003" xr:uid="{00000000-0004-0000-0600-00000E000000}"/>
    <hyperlink ref="G9" r:id="rId16" display="https://www.taxes.gov.az/ru/page/muzdlu-isciler-ucun" xr:uid="{00000000-0004-0000-0600-00000F000000}"/>
    <hyperlink ref="B10" r:id="rId17" display="http://bhas.gov.ba/" xr:uid="{00000000-0004-0000-0600-000010000000}"/>
    <hyperlink ref="B11" r:id="rId18" display="https://statbel.fgov.be/fr/themes/emploi-formation/salaires-et-cout-de-la-main-doeuvre/salaires-mensuels-bruts-moyens" xr:uid="{00000000-0004-0000-0600-000011000000}"/>
    <hyperlink ref="G11" r:id="rId19" display="https://www.belgiumtaxcalculator.com/" xr:uid="{00000000-0004-0000-0600-000012000000}"/>
    <hyperlink ref="B12" r:id="rId20" display="https://www.nsi.bg/en/content/3928/total" xr:uid="{00000000-0004-0000-0600-000013000000}"/>
    <hyperlink ref="E12" r:id="rId21" display="https://www.nsi.bg/en/content/44/basic-page/release-calendar" xr:uid="{00000000-0004-0000-0600-000014000000}"/>
    <hyperlink ref="G12" r:id="rId22" display="https://www.calculator.bg/1/zaplata_bruto_neto.html" xr:uid="{00000000-0004-0000-0600-000015000000}"/>
    <hyperlink ref="B13" r:id="rId23" display="https://www.numbeo.com/cost-of-living/country_result.jsp?country=Bahrain" xr:uid="{00000000-0004-0000-0600-000016000000}"/>
    <hyperlink ref="B14" r:id="rId24" display="https://www.numbeo.com/cost-of-living/country_result.jsp?country=Bolivia" xr:uid="{00000000-0004-0000-0600-000017000000}"/>
    <hyperlink ref="B15" r:id="rId25" display="https://www.ibge.gov.br/estatisticas/sociais/educacao/9171-pesquisa-nacional-por-amostra-de-domicilios-continua-mensal.html?=&amp;t=destaques" xr:uid="{00000000-0004-0000-0600-000018000000}"/>
    <hyperlink ref="D15" r:id="rId26" display="https://www.ibge.gov.br/estatisticas/sociais/educacao/9171-pesquisa-nacional-por-amostra-de-domicilios-continua-mensal.html?=&amp;t=destaques" xr:uid="{00000000-0004-0000-0600-000019000000}"/>
    <hyperlink ref="G15" r:id="rId27" display="http://www.calculador.com.br/calculo/salario-liquido" xr:uid="{00000000-0004-0000-0600-00001A000000}"/>
    <hyperlink ref="B17" r:id="rId28" display="https://www.belstat.gov.by/ofitsialnaya-statistika/realny-sector-ekonomiki/stoimost-rabochey-sily/operativnye-dannye/o-nachislennoy-sredney-zarabotnoy-plate-rabotnikov/o-nachislennoy-sredney-zarabotnoy-plate-rabotnikov-respubliki-belarus-v-aprele-2022-g-/" xr:uid="{00000000-0004-0000-0600-00001B000000}"/>
    <hyperlink ref="E17" r:id="rId29" display="http://www.belstat.gov.by/ofitsialnaya-statistika/polzovatelyam/kalendar-polzovatelya/" xr:uid="{00000000-0004-0000-0600-00001C000000}"/>
    <hyperlink ref="G17" r:id="rId30" display="https://myfin.by/wiki/term/strahovye-vznosy-v-fszn" xr:uid="{00000000-0004-0000-0600-00001D000000}"/>
    <hyperlink ref="B18" r:id="rId31" display="https://www150.statcan.gc.ca/t1/tbl1/en/tv.action?pid=1410022201" xr:uid="{00000000-0004-0000-0600-00001E000000}"/>
    <hyperlink ref="E18" r:id="rId32" display="https://www150.statcan.gc.ca/n1/dai-quo/cal1-eng.htm" xr:uid="{00000000-0004-0000-0600-00001F000000}"/>
    <hyperlink ref="G18" r:id="rId33" display="https://salaryaftertax.com/ca/salary-calculator" xr:uid="{00000000-0004-0000-0600-000020000000}"/>
    <hyperlink ref="B19" r:id="rId34" display="https://www.bfs.admin.ch/bfs/en/home/statistics/work-income/wages-income-employment-labour-costs.html" xr:uid="{00000000-0004-0000-0600-000021000000}"/>
    <hyperlink ref="G19" r:id="rId35" display="https://ethz.ch/en/the-eth-zurich/working-teaching-and-research/welcome-center/services-and-downloads/salary-calculator.html" xr:uid="{00000000-0004-0000-0600-000022000000}"/>
    <hyperlink ref="B21" r:id="rId36" location=":~:text=El%20ingreso%20laboral%20promedio%20mensual%20en%20Chile%20fue%20de%20%24681.039%20en%202021" display="https://www.ine.cl/prensa/2022/07/21/el-ingreso-laboral-promedio-mensual-en-chile-fue-de-$681.039-en-2021 - :~:text=El%20ingreso%20laboral%20promedio%20mensual%20en%20Chile%20fue%20de%20%24681.039%20en%202021" xr:uid="{00000000-0004-0000-0600-000023000000}"/>
    <hyperlink ref="E21" r:id="rId37" display="https://www.ine.cl/estadisticas/sociales/ingresos-y-gastos/encuesta-suplementaria-de-ingresos" xr:uid="{00000000-0004-0000-0600-000024000000}"/>
    <hyperlink ref="B23" r:id="rId38" display="https://data.stats.gov.cn/english/easyquery.htm?cn=C01" xr:uid="{00000000-0004-0000-0600-000025000000}"/>
    <hyperlink ref="B24" r:id="rId39" display="https://www.numbeo.com/cost-of-living/country_result.jsp?country=Colombia" xr:uid="{00000000-0004-0000-0600-000026000000}"/>
    <hyperlink ref="B25" r:id="rId40" display="https://www.numbeo.com/cost-of-living/country_result.jsp?country=Costa+Rica" xr:uid="{00000000-0004-0000-0600-000027000000}"/>
    <hyperlink ref="B26" r:id="rId41" display="https://www.numbeo.com/cost-of-living/country_result.jsp?country=Cuba" xr:uid="{00000000-0004-0000-0600-000028000000}"/>
    <hyperlink ref="B27" r:id="rId42" display="https://www.cystat.gov.cy/en/PressRelease?id=65276" xr:uid="{00000000-0004-0000-0600-000029000000}"/>
    <hyperlink ref="E27" r:id="rId43" display="https://www.mof.gov.cy/mof/cystat/statistics.nsf/labour_34main_en/labour_34main_en?OpenForm&amp;sub=4&amp;sel=1" xr:uid="{00000000-0004-0000-0600-00002A000000}"/>
    <hyperlink ref="G27" r:id="rId44" display="https://www.qnta.biz/resources/cyprus-tax/tax-calculators/gross-to-net-salary" xr:uid="{00000000-0004-0000-0600-00002B000000}"/>
    <hyperlink ref="B28" r:id="rId45" display="https://www.czso.cz/csu/czso/cri/prumerne-mzdy-2-ctvrtleti-2022" xr:uid="{00000000-0004-0000-0600-00002C000000}"/>
    <hyperlink ref="E28" r:id="rId46" display="https://www.czso.cz/csu/czso/prumerne-mzdy" xr:uid="{00000000-0004-0000-0600-00002D000000}"/>
    <hyperlink ref="G28" r:id="rId47" display="https://www.vypocet.cz/cista-mzda" xr:uid="{00000000-0004-0000-0600-00002E000000}"/>
    <hyperlink ref="B29" r:id="rId48" display="https://www.destatis.de/DE/Themen/Arbeit/Verdienste/Verdienste-Verdienstunterschiede/verdienste-branchen.html" xr:uid="{00000000-0004-0000-0600-00002F000000}"/>
    <hyperlink ref="E29" r:id="rId49" display="https://www.destatis.de/SiteGlobals/Forms/Suche/Termine/EN/Terminsuche_Formular.html?cl2Taxonomies_Themen_0=verdienste" xr:uid="{00000000-0004-0000-0600-000030000000}"/>
    <hyperlink ref="G29" r:id="rId50" display="https://www.bbx.de/brutto-netto-rechner/" xr:uid="{00000000-0004-0000-0600-000031000000}"/>
    <hyperlink ref="B30" r:id="rId51" display="https://www.dst.dk/da/Statistik/Publikationer/gennemsnitsdanskeren" xr:uid="{00000000-0004-0000-0600-000032000000}"/>
    <hyperlink ref="E30" r:id="rId52" display="https://www.statistikbanken.dk/LONS20" xr:uid="{00000000-0004-0000-0600-000033000000}"/>
    <hyperlink ref="G30" r:id="rId53" display="http://hvormegetefterskat.dk/" xr:uid="{00000000-0004-0000-0600-000034000000}"/>
    <hyperlink ref="B31" r:id="rId54" display="https://www.numbeo.com/cost-of-living/country_result.jsp?country=Dominican+Republic" xr:uid="{00000000-0004-0000-0600-000035000000}"/>
    <hyperlink ref="B32" r:id="rId55" display="https://www.numbeo.com/cost-of-living/country_result.jsp?country=Algeria" xr:uid="{00000000-0004-0000-0600-000036000000}"/>
    <hyperlink ref="B33" r:id="rId56" display="https://www.numbeo.com/cost-of-living/country_result.jsp?country=Ecuador" xr:uid="{00000000-0004-0000-0600-000037000000}"/>
    <hyperlink ref="B34" r:id="rId57" display="https://www.stat.ee/et/avasta-statistikat/valdkonnad/tooelu/palk-ja-toojoukulu/keskmine-brutokuupalk" xr:uid="{00000000-0004-0000-0600-000038000000}"/>
    <hyperlink ref="E34" r:id="rId58" display="https://www.stat.ee/stat-keskmine-brutokuupalk" xr:uid="{00000000-0004-0000-0600-000039000000}"/>
    <hyperlink ref="G34" r:id="rId59" display="https://www.kalkulaator.ee/en/salary-calculator" xr:uid="{00000000-0004-0000-0600-00003A000000}"/>
    <hyperlink ref="B35" r:id="rId60" display="https://www.numbeo.com/cost-of-living/country_result.jsp?country=Egypt" xr:uid="{00000000-0004-0000-0600-00003B000000}"/>
    <hyperlink ref="B36" r:id="rId61" display="https://www.ine.es/daco/daco42/etcl/etcl0122.pdf" xr:uid="{00000000-0004-0000-0600-00003C000000}"/>
    <hyperlink ref="E36" r:id="rId62" location="!completo" display="https://www.ine.es/daco/daco41/calen.htm - !completo" xr:uid="{00000000-0004-0000-0600-00003D000000}"/>
    <hyperlink ref="G36" r:id="rId63" display="https://www.expansion.com/ahorro/calculadora-sueldo-neto.html" xr:uid="{00000000-0004-0000-0600-00003E000000}"/>
    <hyperlink ref="B37" r:id="rId64" display="https://statfin.stat.fi/PxWeb/pxweb/en/StatFin/StatFin__ati/statfin_ati_pxt_11zu.px/" xr:uid="{00000000-0004-0000-0600-00003F000000}"/>
    <hyperlink ref="E37" r:id="rId65" location="?langs=en" display="https://www.stat.fi/ajk/julkistamiskalenteri/index_en.html - ?langs=en" xr:uid="{00000000-0004-0000-0600-000040000000}"/>
    <hyperlink ref="G37" r:id="rId66" display="https://www.summarum.fi/verolaskuri/" xr:uid="{00000000-0004-0000-0600-000041000000}"/>
    <hyperlink ref="B38" r:id="rId67" display="https://www.insee.fr/fr/statistiques/6436313" xr:uid="{00000000-0004-0000-0600-000042000000}"/>
    <hyperlink ref="B39" r:id="rId68" display="https://www.geostat.ge/en/modules/categories/39/wages" xr:uid="{00000000-0004-0000-0600-000043000000}"/>
    <hyperlink ref="E39" r:id="rId69" display="https://www.geostat.ge/index.php/ka/calendar" xr:uid="{00000000-0004-0000-0600-000044000000}"/>
    <hyperlink ref="G39" r:id="rId70" display="https://kernel.tools/calculators/salary-calculator?lang=ka" xr:uid="{00000000-0004-0000-0600-000045000000}"/>
    <hyperlink ref="B42" r:id="rId71" display="https://www.efka.gov.gr/el/meniaia-stoicheia-apascholeses-2021" xr:uid="{00000000-0004-0000-0600-000046000000}"/>
    <hyperlink ref="E42" r:id="rId72" display="https://www.efka.gov.gr/el/anakoinoseis" xr:uid="{00000000-0004-0000-0600-000047000000}"/>
    <hyperlink ref="G42" r:id="rId73" display="http://aftertax.gr/" xr:uid="{00000000-0004-0000-0600-000048000000}"/>
    <hyperlink ref="B43" r:id="rId74" display="https://www.numbeo.com/cost-of-living/country_result.jsp?country=Guatemala" xr:uid="{00000000-0004-0000-0600-000049000000}"/>
    <hyperlink ref="B44" r:id="rId75" display="https://www.censtatd.gov.hk/hkstat/sub/sp210.jsp?productCode=B1050009" xr:uid="{00000000-0004-0000-0600-00004A000000}"/>
    <hyperlink ref="G44" r:id="rId76" display="https://hk.talent.com/en/tax-calculator" xr:uid="{00000000-0004-0000-0600-00004B000000}"/>
    <hyperlink ref="B45" r:id="rId77" display="https://www.numbeo.com/cost-of-living/country_result.jsp?country=Honduras&amp;displayCurrency=HNL" xr:uid="{00000000-0004-0000-0600-00004C000000}"/>
    <hyperlink ref="B46" r:id="rId78" display="https://podaci.dzs.hr/hr/" xr:uid="{00000000-0004-0000-0600-00004D000000}"/>
    <hyperlink ref="E46" r:id="rId79" display="https://podaci.dzs.hr/hr/kalendar-objavljivanja-i-program-publiciranja/" xr:uid="{00000000-0004-0000-0600-00004E000000}"/>
    <hyperlink ref="B47" r:id="rId80" location="/hu/document/ker2206" display="https://www.ksh.hu/gyorstajekoztatok/ - /hu/document/ker2206" xr:uid="{00000000-0004-0000-0600-00004F000000}"/>
    <hyperlink ref="E47" r:id="rId81" display="http://www.ksh.hu/dissemination_calendar_fr" xr:uid="{00000000-0004-0000-0600-000050000000}"/>
    <hyperlink ref="B48" r:id="rId82" display="https://www.bps.go.id/indicator/19/1521/1/rata-rata-upah-gaji.html" xr:uid="{00000000-0004-0000-0600-000051000000}"/>
    <hyperlink ref="B49" r:id="rId83" display="https://www.cso.ie/en/releasesandpublications/er/elcq/earningsandlabourcostsq42020finalq12021preliminaryestimates/" xr:uid="{00000000-0004-0000-0600-000052000000}"/>
    <hyperlink ref="C49" r:id="rId84" display="https://www.cso.ie/en/releasesandpublications/er/elcq/earningsandlabourcostsq42021finalq12022preliminaryestimates/" xr:uid="{00000000-0004-0000-0600-000053000000}"/>
    <hyperlink ref="E49" r:id="rId85" display="https://www.cso.ie/en/csolatestnews/releasecalendar/" xr:uid="{00000000-0004-0000-0600-000054000000}"/>
    <hyperlink ref="G49" r:id="rId86" display="https://salaryaftertax.com/ie/salary-calculator" xr:uid="{00000000-0004-0000-0600-000055000000}"/>
    <hyperlink ref="B50" r:id="rId87" display="https://www.cbs.gov.il/he/pages/default.aspx" xr:uid="{00000000-0004-0000-0600-000056000000}"/>
    <hyperlink ref="E50" r:id="rId88" location="?Subject=&amp;Interval=120" display="https://www.cbs.gov.il/he/Pages/%D7%AA%D7%97%D7%96%D7%99%D7%AA-%D7%A4%D7%A8%D7%A1%D7%95%D7%9D.aspx - ?Subject=&amp;Interval=120" xr:uid="{00000000-0004-0000-0600-000057000000}"/>
    <hyperlink ref="G50" r:id="rId89" display="https://il.talent.com/en/tax-calculator?salary=12672&amp;from=month&amp;region=Israel" xr:uid="{00000000-0004-0000-0600-000058000000}"/>
    <hyperlink ref="B51" r:id="rId90" display="https://www.numbeo.com/cost-of-living/country_result.jsp?country=India" xr:uid="{00000000-0004-0000-0600-000059000000}"/>
    <hyperlink ref="B52" r:id="rId91" display="https://www.numbeo.com/cost-of-living/country_result.jsp?country=Iraq&amp;displayCurrency=IQD" xr:uid="{00000000-0004-0000-0600-00005A000000}"/>
    <hyperlink ref="B53" r:id="rId92" display="https://www.numbeo.com/cost-of-living/country_result.jsp?country=Iran&amp;displayCurrency=IRR" xr:uid="{00000000-0004-0000-0600-00005B000000}"/>
    <hyperlink ref="B54" r:id="rId93" display="https://statice.is/publications/news-archive/wages-and-income/average-earnings-2021/" xr:uid="{00000000-0004-0000-0600-00005C000000}"/>
    <hyperlink ref="G54" r:id="rId94" display="http://virtus.is/en/" xr:uid="{00000000-0004-0000-0600-00005D000000}"/>
    <hyperlink ref="B55" r:id="rId95" display="https://ec.europa.eu/eurostat/databrowser/view/EARN_NT_NETFT/default/table?lang=en&amp;category=labour.earn.earn_net" xr:uid="{00000000-0004-0000-0600-00005E000000}"/>
    <hyperlink ref="G55" r:id="rId96" display="https://www.pmi.it/servizi/292472/calcolo-stipendio-netto.html?step=2&amp;ral=22340&amp;reg=lombardia&amp;com=0.8&amp;car=no&amp;child=0&amp;childcharge=100&amp;family=0&amp;monthlypay=14&amp;days=365" xr:uid="{00000000-0004-0000-0600-00005F000000}"/>
    <hyperlink ref="B57" r:id="rId97" display="https://www.numbeo.com/cost-of-living/country_result.jsp?country=Jordan" xr:uid="{00000000-0004-0000-0600-000060000000}"/>
    <hyperlink ref="B58" r:id="rId98" display="http://www.stat.go.jp/english/data/nenkan/index.html" xr:uid="{00000000-0004-0000-0600-000061000000}"/>
    <hyperlink ref="G58" r:id="rId99" display="https://salaryaftertax.com/jp/salary-calculator" xr:uid="{00000000-0004-0000-0600-000062000000}"/>
    <hyperlink ref="B59" r:id="rId100" display="https://www.knbs.or.ke/economic-survey-2022/" xr:uid="{00000000-0004-0000-0600-000063000000}"/>
    <hyperlink ref="G59" r:id="rId101" display="https://calculator.co.ke/kra-salary-income-tax-paye-calculator" xr:uid="{00000000-0004-0000-0600-000064000000}"/>
    <hyperlink ref="B60" r:id="rId102" display="http://www.stat.kg/ru/statistics/trud-i-zarabotnaya-plata/" xr:uid="{00000000-0004-0000-0600-000065000000}"/>
    <hyperlink ref="E60" r:id="rId103" display="http://www.stat.kg/ru/statistics/trud-i-zarabotnaya-plata/" xr:uid="{00000000-0004-0000-0600-000066000000}"/>
    <hyperlink ref="G60" r:id="rId104" display="https://kaktus.media/doc/346604_chto_ostaetsia_ot_zarplaty_kyrgyzstancev_posle_yplaty_nalogov_i_otchisleniy.html" xr:uid="{00000000-0004-0000-0600-000067000000}"/>
    <hyperlink ref="B61" r:id="rId105" display="https://www.numbeo.com/cost-of-living/country_result.jsp?country=Cambodia&amp;displayCurrency=KHR" xr:uid="{00000000-0004-0000-0600-000068000000}"/>
    <hyperlink ref="B62" r:id="rId106" display="http://eboard.moel.go.kr/indicator/detail?menu_idx=3" xr:uid="{00000000-0004-0000-0600-000069000000}"/>
    <hyperlink ref="G62" r:id="rId107" display="https://work.calculate.co.kr/annual-salary-calculator" xr:uid="{00000000-0004-0000-0600-00006A000000}"/>
    <hyperlink ref="B63" r:id="rId108" display="https://www.numbeo.com/cost-of-living/country_result.jsp?country=Kuwait" xr:uid="{00000000-0004-0000-0600-00006B000000}"/>
    <hyperlink ref="B64" r:id="rId109" display="https://stat.gov.kz/edition/publication/month" xr:uid="{00000000-0004-0000-0600-00006C000000}"/>
    <hyperlink ref="B66" r:id="rId110" display="https://www.numbeo.com/cost-of-living/country_result.jsp?country=Sri+Lanka" xr:uid="{00000000-0004-0000-0600-00006D000000}"/>
    <hyperlink ref="B67" r:id="rId111" location="/" display="https://osp.stat.gov.lt/statistiniu-rodikliu-analize?hash=b878641e-9978-470a-83ba-349c713ee4b1 - /" xr:uid="{00000000-0004-0000-0600-00006E000000}"/>
    <hyperlink ref="E67" r:id="rId112" display="https://osp.stat.gov.lt/kalendoriai?expanded=true" xr:uid="{00000000-0004-0000-0600-00006F000000}"/>
    <hyperlink ref="G67" r:id="rId113" display="https://www.robolabs.lt/ru_RU/atlyginimo_skaiciuokle" xr:uid="{00000000-0004-0000-0600-000070000000}"/>
    <hyperlink ref="B68" r:id="rId114" display="https://lustat.statec.lu/vis?fs%5B0%5D=Topics%2C1%7CPopulation%20and%20employment%23B%23%7CLabour%20market%23B5%23&amp;pg=0&amp;fc=Topics&amp;lc=en&amp;tm=earnings&amp;df%5Bds%5D=release&amp;df%5Bid%5D=DF_C1202&amp;df%5Bag%5D=LU1&amp;df%5Bvs%5D=1.0&amp;pd=2015%2C2021&amp;dq=..A&amp;ly%5Brw%5D=NACE_REV2%2CGENDER&amp;ly%5Bcl%5D=TIME_PERIOD" xr:uid="{00000000-0004-0000-0600-000071000000}"/>
    <hyperlink ref="E68" r:id="rId115" display="https://statistiques.public.lu/en/agenda/calendrier-diffusion/index.html" xr:uid="{00000000-0004-0000-0600-000072000000}"/>
    <hyperlink ref="G68" r:id="rId116" display="https://salaryaftertax.com/lu/salary-calculator" xr:uid="{00000000-0004-0000-0600-000073000000}"/>
    <hyperlink ref="B69" r:id="rId117" display="https://data.stat.gov.lv/pxweb/lv/OSP_PUB/START__EMP__DS__DSV/DSV010c/table/tableViewLayout1/" xr:uid="{00000000-0004-0000-0600-000074000000}"/>
    <hyperlink ref="B70" r:id="rId118" display="https://statbank.statistica.md/PxWeb/pxweb/en/30 Statistica sociala/30 Statistica sociala__03 FM__SAL010__serii lunare/SAL014900.px/table/tableViewLayout1/?rxid=6d7450f9-5bd0-45b1-ac5f-5ccaee5f48bc" xr:uid="{00000000-0004-0000-0600-000075000000}"/>
    <hyperlink ref="G70" r:id="rId119" display="https://salarii.md/" xr:uid="{00000000-0004-0000-0600-000076000000}"/>
    <hyperlink ref="B71" r:id="rId120" display="http://monstat.org/eng/page.php?id=1763&amp;pageid=24" xr:uid="{00000000-0004-0000-0600-000077000000}"/>
    <hyperlink ref="E71" r:id="rId121" display="http://monstat.org/eng/index.php" xr:uid="{00000000-0004-0000-0600-000078000000}"/>
    <hyperlink ref="B73" r:id="rId122" display="http://www.stat.gov.mk/Default_en.aspx" xr:uid="{00000000-0004-0000-0600-000079000000}"/>
    <hyperlink ref="B74" r:id="rId123" display="https://nso.gov.mt/en/News_Releases/View_by_Unit/Unit_C2/Labour_Market_Statistics/Pages/Labour-Force-Survey.aspx" xr:uid="{00000000-0004-0000-0600-00007A000000}"/>
    <hyperlink ref="G74" r:id="rId124" display="http://maltasalary.com/" xr:uid="{00000000-0004-0000-0600-00007B000000}"/>
    <hyperlink ref="B76" r:id="rId125" display="https://www.observatoriolaboral.gob.mx/static/estudios-publicaciones/Tendencias_empleo.html" xr:uid="{00000000-0004-0000-0600-00007C000000}"/>
    <hyperlink ref="G76" r:id="rId126" display="https://isrmatic.com/" xr:uid="{00000000-0004-0000-0600-00007D000000}"/>
    <hyperlink ref="B77" r:id="rId127" display="https://www.dosm.gov.my/v1/index.php?r=column/cthemeByCat&amp;cat=157&amp;bul_id=VDRDc0pGZHpieEUwMDNFWHVHSnpkdz09&amp;menu_id=Tm8zcnRjdVRNWWlpWjRlbmtlaDk1UT09" xr:uid="{00000000-0004-0000-0600-00007E000000}"/>
    <hyperlink ref="B79" r:id="rId128" display="https://www.numbeo.com/cost-of-living/country_result.jsp?country=Nigeria" xr:uid="{00000000-0004-0000-0600-00007F000000}"/>
    <hyperlink ref="B80" r:id="rId129" display="https://www.numbeo.com/cost-of-living/country_result.jsp?country=Nicaragua&amp;displayCurrency=NIO" xr:uid="{00000000-0004-0000-0600-000080000000}"/>
    <hyperlink ref="B81" r:id="rId130" display="https://www.cpb.nl/sites/default/files/omnidownload/CPB-Kerngegevenstabel-juniraming-2021.pdf" xr:uid="{00000000-0004-0000-0600-000081000000}"/>
    <hyperlink ref="G81" r:id="rId131" display="https://thetax.nl/?year=2022&amp;startFrom=Year&amp;salary=38000&amp;allowance=0&amp;socialSecurity=1&amp;retired=0&amp;ruling=0&amp;rulingChoice=normal" xr:uid="{00000000-0004-0000-0600-000082000000}"/>
    <hyperlink ref="B82" r:id="rId132" display="https://www.ssb.no/en/arbeid-og-lonn/statistikker/lonnansatt" xr:uid="{00000000-0004-0000-0600-000083000000}"/>
    <hyperlink ref="G82" r:id="rId133" display="https://no.talent.com/en/tax-calculator?salary=48750&amp;from=month&amp;region=Norway" xr:uid="{00000000-0004-0000-0600-000084000000}"/>
    <hyperlink ref="B83" r:id="rId134" display="https://www.stats.govt.nz/information-releases/labour-market-statistics-march-2022-quarter" xr:uid="{00000000-0004-0000-0600-000085000000}"/>
    <hyperlink ref="E83" r:id="rId135" display="https://www.stats.govt.nz/release-calendar" xr:uid="{00000000-0004-0000-0600-000086000000}"/>
    <hyperlink ref="G83" r:id="rId136" display="https://www.paye.net.nz/calculator.html" xr:uid="{00000000-0004-0000-0600-000087000000}"/>
    <hyperlink ref="B84" r:id="rId137" display="https://www.numbeo.com/cost-of-living/country_result.jsp?country=Oman" xr:uid="{00000000-0004-0000-0600-000088000000}"/>
    <hyperlink ref="B85" r:id="rId138" display="https://www.numbeo.com/cost-of-living/country_result.jsp?country=Panama" xr:uid="{00000000-0004-0000-0600-000089000000}"/>
    <hyperlink ref="B86" r:id="rId139" display="https://www.inei.gob.pe/prensa/noticias/en-lima-metropolitana-la-poblacion-ocupada-alcanza-los-5-millones-64-mil-personas-en-el-trimestre-mayo-junio-julio-del-2022-13849/" xr:uid="{00000000-0004-0000-0600-00008A000000}"/>
    <hyperlink ref="G86" r:id="rId140" display="http://www.ramsal.com/linea/peru/peru01.htm" xr:uid="{00000000-0004-0000-0600-00008B000000}"/>
    <hyperlink ref="B87" r:id="rId141" display="https://www.numbeo.com/cost-of-living/country_result.jsp?country=Philippines" xr:uid="{00000000-0004-0000-0600-00008C000000}"/>
    <hyperlink ref="E87" r:id="rId142" display="http://psa.gov.ph/current-labor-statistics/statistical-tables" xr:uid="{00000000-0004-0000-0600-00008D000000}"/>
    <hyperlink ref="B88" r:id="rId143" display="https://www.numbeo.com/cost-of-living/country_result.jsp?country=Pakistan" xr:uid="{00000000-0004-0000-0600-00008E000000}"/>
    <hyperlink ref="E88" r:id="rId144" display="http://www.pbs.gov.pk/content/labour-force-survey-2017-18-annual-report" xr:uid="{00000000-0004-0000-0600-00008F000000}"/>
    <hyperlink ref="B89" r:id="rId145" display="https://stat.gov.pl/sygnalne/komunikaty-i-obwieszczenia/lista-komunikatow-i-obwieszczen/komunikat-w-sprawie-przecietnego-miesiecznego-wynagrodzenia-w-sektorze-przedsiebiorstw-bez-wyplat-nagrod-z-zysku-w-lipcu-2022-roku,57,105.html" xr:uid="{00000000-0004-0000-0600-000090000000}"/>
    <hyperlink ref="E89" r:id="rId146" display="https://stat.gov.pl/sygnalne/komunikaty-i-obwieszczenia/18,2020,kategoria.html" xr:uid="{00000000-0004-0000-0600-000091000000}"/>
    <hyperlink ref="G89" r:id="rId147" display="https://www.infor.pl/kalkulatory/wynagrodzen-niskie-podatki.html" xr:uid="{00000000-0004-0000-0600-000092000000}"/>
    <hyperlink ref="B90" r:id="rId148" display="https://www.numbeo.com/cost-of-living/country_result.jsp?country=Puerto+Rico" xr:uid="{00000000-0004-0000-0600-000093000000}"/>
    <hyperlink ref="B91" r:id="rId149" display="https://www.ine.pt/xportal/xmain?xpid=INE&amp;xpgid=ine_indicadores&amp;indOcorrCod=0010697&amp;contexto=bd&amp;selTab=tab2" xr:uid="{00000000-0004-0000-0600-000094000000}"/>
    <hyperlink ref="B92" r:id="rId150" display="https://www.numbeo.com/cost-of-living/country_result.jsp?country=Paraguay" xr:uid="{00000000-0004-0000-0600-000095000000}"/>
    <hyperlink ref="B93" r:id="rId151" display="https://www.numbeo.com/cost-of-living/country_result.jsp?country=Qatar" xr:uid="{00000000-0004-0000-0600-000096000000}"/>
    <hyperlink ref="B94" r:id="rId152" display="https://insse.ro/cms/en/comunicate-de-presa-view?field_categorie_value_i18n%5B%5D=14&amp;created=7&amp;field_cuvinte_cheie_value=&amp;items_per_page=10" xr:uid="{00000000-0004-0000-0600-000097000000}"/>
    <hyperlink ref="E94" r:id="rId153" display="http://www.insse.ro/cms/en/comunicate-de-presa-view?field_categorie_value_i18n%5B%5D=14&amp;created=1&amp;field_cuvinte_cheie_value=&amp;items_per_page=10" xr:uid="{00000000-0004-0000-0600-000098000000}"/>
    <hyperlink ref="B95" r:id="rId154" display="http://www.stat.gov.rs/en-US/oblasti/trziste-rada/zarade" xr:uid="{00000000-0004-0000-0600-000099000000}"/>
    <hyperlink ref="E95" r:id="rId155" display="http://www.stat.gov.rs/en-us/calendar/?a=24&amp;s=2403" xr:uid="{00000000-0004-0000-0600-00009A000000}"/>
    <hyperlink ref="B96" r:id="rId156" display="https://rosstat.gov.ru/labor_market_employment_salaries" xr:uid="{00000000-0004-0000-0600-00009B000000}"/>
    <hyperlink ref="E96" r:id="rId157" display="http://www.gks.ru/wps/wcm/connect/rosstat_main/rosstat/ru/statistics/publications/plan/" xr:uid="{00000000-0004-0000-0600-00009C000000}"/>
    <hyperlink ref="B98" r:id="rId158" display="https://www.stats.gov.sa/en/814" xr:uid="{00000000-0004-0000-0600-00009D000000}"/>
    <hyperlink ref="B99" r:id="rId159" display="https://www.scb.se/hitta-statistik/sverige-i-siffror/utbildning-jobb-och-pengar/medelloner-i-sverige/" xr:uid="{00000000-0004-0000-0600-00009E000000}"/>
    <hyperlink ref="E99" r:id="rId160" display="https://www.scb.se/en/finding-statistics/publishing-calendar/?prodKod=AM0101" xr:uid="{00000000-0004-0000-0600-00009F000000}"/>
    <hyperlink ref="G99" r:id="rId161" display="https://statsskuld.se/en/jobs/net-salary" xr:uid="{00000000-0004-0000-0600-0000A0000000}"/>
    <hyperlink ref="B100" r:id="rId162" display="https://data.gov.sg/dataset/average-monthly-nominal-earnings-per-employee-by-sex-quarterly" xr:uid="{00000000-0004-0000-0600-0000A1000000}"/>
    <hyperlink ref="E100" r:id="rId163" display="https://stats.mom.gov.sg/Pages/Future-Releases.aspx" xr:uid="{00000000-0004-0000-0600-0000A2000000}"/>
    <hyperlink ref="G100" r:id="rId164" display="https://sg.neuvoo.com/tax-calculator/?iam=&amp;uet_calculate=calculate&amp;salary=5549&amp;from=month&amp;region=Singapore" xr:uid="{00000000-0004-0000-0600-0000A3000000}"/>
    <hyperlink ref="B101" r:id="rId165" display="https://www.stat.si/StatWeb/en/Field/Index/15" xr:uid="{00000000-0004-0000-0600-0000A4000000}"/>
    <hyperlink ref="E101" r:id="rId166" display="https://pxweb.stat.si/SiStatDb/pxweb/en/10_Dem_soc/10_Dem_soc__07_trg_dela__10_place__01_07010_place/0701011S.px/" xr:uid="{00000000-0004-0000-0600-0000A5000000}"/>
    <hyperlink ref="B102" r:id="rId167" location="!/view/sk/VBD_INTERN/pr0204qs/v_pr0204qs_00_00_00_sk" display="http://datacube.statistics.sk/ - !/view/sk/VBD_INTERN/pr0204qs/v_pr0204qs_00_00_00_sk" xr:uid="{00000000-0004-0000-0600-0000A6000000}"/>
    <hyperlink ref="E102" r:id="rId168" display="https://slovak.statistics.sk/wps/portal/ext/products/Prve-Zverejnenie-Kalendar/!ut/p/z1/tVNNk5NAFPwtHjjCvDB8DN4gVoCVRFkWkszFAnYSMOFjYYSNv95Bc7HKJbEs5wJUdfd0P14jinaI1ulQHlNeNnV6Ft97anyxwzCMgiQBN1FX4OOFC5s4BsAmShBFNK95ywu0b7I-LeT-JJf1QU5PXALx0nSVUBtqJvdtlw4XCYae8ZN4Yj3LsU4OspZqWNYWTJBU9iwTgxz0TE8tllqTfJuXz2h_F3r7029o-sRxFjaAE2DwHz5GG2-5Ut1YR3QmzpNx5S9d29PMAIAErg6-7cWPVogx2HiWL8bxiw9vHBvu488YnPhJ8PkaL1pb4CeR9vSJmOqH1eLKnwH80_0CQOfjbaf_dWOCtzTorEnHuAEQQ9qLFOabW7AQMYeSjSiup908o-gvl8wD9IBomVXKmFcKKCYxxWhMoqmaZegYT61Ru_VyfRSyKS-mOjRod5e2oJZfX16oLVrV1Jy9crT7H7US99h1homw2LED61infOtE3wvO2_69BBKM46gcm-Z4ZkreVBL8iVI0vfD3OxK1VUXwpZyOfHr0vjsb2d0SrmeX8d0PjrMiag!!/dz/d5/L2dJQSEvUUt3QS80TmxFL1o2X0FRUVFTTFZWMEdWMkYwSTMxRzBOVVUwMDM3/" xr:uid="{00000000-0004-0000-0600-0000A7000000}"/>
    <hyperlink ref="G102" r:id="rId169" display="https://openiazoch.zoznam.sk/kalkulacky/vypocet-cistej-mzdy" xr:uid="{00000000-0004-0000-0600-0000A8000000}"/>
    <hyperlink ref="B103" r:id="rId170" display="https://www.numbeo.com/cost-of-living/country_result.jsp?country=El+Salvador" xr:uid="{00000000-0004-0000-0600-0000A9000000}"/>
    <hyperlink ref="B104" r:id="rId171" display="https://www.numbeo.com/cost-of-living/country_result.jsp?country=Thailand" xr:uid="{00000000-0004-0000-0600-0000AA000000}"/>
    <hyperlink ref="B105" r:id="rId172" display="https://www.stat.tj/ru/tables-real-sector" xr:uid="{00000000-0004-0000-0600-0000AB000000}"/>
    <hyperlink ref="G105" r:id="rId173" display="https://andoz.tj/Calc?culture=ru-RU" xr:uid="{00000000-0004-0000-0600-0000AC000000}"/>
    <hyperlink ref="B106" r:id="rId174" display="https://fergana.agency/news/108394/" xr:uid="{00000000-0004-0000-0600-0000AD000000}"/>
    <hyperlink ref="G106" r:id="rId175" display="https://turkmenportal.com/compositions/511" xr:uid="{00000000-0004-0000-0600-0000AE000000}"/>
    <hyperlink ref="B107" r:id="rId176" display="https://www.numbeo.com/cost-of-living/country_result.jsp?country=Tunisia" xr:uid="{00000000-0004-0000-0600-0000AF000000}"/>
    <hyperlink ref="B108" r:id="rId177" display="https://www.numbeo.com/cost-of-living/country_result.jsp?country=Turkey" xr:uid="{00000000-0004-0000-0600-0000B0000000}"/>
    <hyperlink ref="B109" r:id="rId178" display="https://eng.stat.gov.tw/ct.asp?xItem=46197&amp;ctNode=1616&amp;mp=5" xr:uid="{00000000-0004-0000-0600-0000B1000000}"/>
    <hyperlink ref="E109" r:id="rId179" display="https://eng.stat.gov.tw/lp.asp?ctNode=1616&amp;CtUnit=766&amp;BaseDSD=7&amp;MP=5" xr:uid="{00000000-0004-0000-0600-0000B2000000}"/>
    <hyperlink ref="G109" r:id="rId180" display="https://tw.talent.com/en/tax-calculator?salary=54238&amp;from=month&amp;region=Taiwan" xr:uid="{00000000-0004-0000-0600-0000B3000000}"/>
    <hyperlink ref="B111" r:id="rId181" display="https://www.pfu.gov.ua/2152284-pokaznyk-serednoyi-zarobitnoyi-platy-za-2022-rik/" xr:uid="{00000000-0004-0000-0600-0000B4000000}"/>
    <hyperlink ref="E111" r:id="rId182" display="http://www.ukrstat.gov.ua/" xr:uid="{00000000-0004-0000-0600-0000B5000000}"/>
    <hyperlink ref="G111" r:id="rId183" display="https://finance.ua/ru/calc/salary" xr:uid="{00000000-0004-0000-0600-0000B6000000}"/>
    <hyperlink ref="B113" r:id="rId184" display="https://www.ons.gov.uk/employmentandlabourmarket/peopleinwork/earningsandworkinghours/datasets/averageweeklyearningsearn01" xr:uid="{00000000-0004-0000-0600-0000B7000000}"/>
    <hyperlink ref="E113" r:id="rId185" display="https://www.ons.gov.uk/employmentandlabourmarket/peopleinwork/employmentandemployeetypes/bulletins/averageweeklyearningsingreatbritain/latest" xr:uid="{00000000-0004-0000-0600-0000B8000000}"/>
    <hyperlink ref="G113" r:id="rId186" display="https://salaryaftertax.com/salary-calculator/uk" xr:uid="{00000000-0004-0000-0600-0000B9000000}"/>
    <hyperlink ref="B114" r:id="rId187" display="https://www.bls.gov/oes/current/oes_nat.htm" xr:uid="{00000000-0004-0000-0600-0000BA000000}"/>
    <hyperlink ref="G114" r:id="rId188" display="https://goodcalculators.com/us-salary-tax-calculator/" xr:uid="{00000000-0004-0000-0600-0000BB000000}"/>
    <hyperlink ref="B115" r:id="rId189" display="https://www.numbeo.com/cost-of-living/country_result.jsp?country=Uruguay" xr:uid="{00000000-0004-0000-0600-0000BC000000}"/>
    <hyperlink ref="B116" r:id="rId190" display="https://www.stat.uz/ru/ofitsialnaya-statistika/labor-market" xr:uid="{00000000-0004-0000-0600-0000BD000000}"/>
    <hyperlink ref="B117" r:id="rId191" display="https://observatoriodefinanzas.com/wp-content/uploads/Presentacio%CC%81n-IRT-13ABR21-min.pdf" xr:uid="{00000000-0004-0000-0600-0000BE000000}"/>
    <hyperlink ref="B118" r:id="rId192" display="https://www.numbeo.com/cost-of-living/country_result.jsp?country=Vietnam" xr:uid="{00000000-0004-0000-0600-0000BF000000}"/>
    <hyperlink ref="B120" r:id="rId193" display="http://www.statssa.gov.za/?page_id=1854&amp;PPN=P0277" xr:uid="{00000000-0004-0000-0600-0000C0000000}"/>
    <hyperlink ref="E120" r:id="rId194" display="http://www.statssa.gov.za/publications/P0277/P0277September2020.pdf" xr:uid="{00000000-0004-0000-0600-0000C1000000}"/>
    <hyperlink ref="G120" r:id="rId195" display="https://www.taxtim.com/za/calculators/income-tax?mmi" xr:uid="{00000000-0004-0000-0600-0000C2000000}"/>
    <hyperlink ref="B121" r:id="rId196" display="https://www.newzimbabwe.com/mavima-pushes-for-fair-salaries/" xr:uid="{00000000-0004-0000-0600-0000C3000000}"/>
    <hyperlink ref="G121" r:id="rId197" display="https://www.zra.org.zm/calculate-paye/" xr:uid="{00000000-0004-0000-0600-0000C4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Q11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12.6640625" defaultRowHeight="15.75" customHeight="1" x14ac:dyDescent="0.15"/>
  <cols>
    <col min="6" max="6" width="11" customWidth="1"/>
  </cols>
  <sheetData>
    <row r="1" spans="1:17" ht="15.75" customHeight="1" x14ac:dyDescent="0.15">
      <c r="A1" s="66" t="s">
        <v>501</v>
      </c>
      <c r="B1" s="66" t="s">
        <v>502</v>
      </c>
      <c r="C1" s="66" t="s">
        <v>503</v>
      </c>
      <c r="D1" s="1" t="s">
        <v>504</v>
      </c>
      <c r="E1" s="1" t="s">
        <v>505</v>
      </c>
      <c r="F1" s="2" t="s">
        <v>506</v>
      </c>
      <c r="G1" s="67" t="s">
        <v>507</v>
      </c>
      <c r="H1" s="68"/>
      <c r="I1" s="66" t="s">
        <v>501</v>
      </c>
      <c r="J1" s="66" t="s">
        <v>502</v>
      </c>
      <c r="K1" s="69" t="s">
        <v>508</v>
      </c>
      <c r="L1" s="70" t="s">
        <v>509</v>
      </c>
      <c r="M1" s="71" t="s">
        <v>510</v>
      </c>
      <c r="N1" s="70" t="s">
        <v>86</v>
      </c>
      <c r="O1" s="72" t="s">
        <v>510</v>
      </c>
      <c r="P1" s="70" t="s">
        <v>85</v>
      </c>
      <c r="Q1" s="70" t="s">
        <v>11</v>
      </c>
    </row>
    <row r="2" spans="1:17" ht="15.75" customHeight="1" x14ac:dyDescent="0.15">
      <c r="A2" s="73" t="s">
        <v>511</v>
      </c>
      <c r="B2" s="74" t="s">
        <v>512</v>
      </c>
      <c r="C2" s="75" t="s">
        <v>513</v>
      </c>
      <c r="D2" s="75" t="s">
        <v>514</v>
      </c>
      <c r="E2" s="75" t="s">
        <v>515</v>
      </c>
      <c r="F2" s="75" t="s">
        <v>85</v>
      </c>
      <c r="G2" s="76" t="s">
        <v>85</v>
      </c>
      <c r="H2" s="77"/>
      <c r="I2" s="73" t="s">
        <v>511</v>
      </c>
      <c r="J2" s="74" t="s">
        <v>512</v>
      </c>
      <c r="K2" s="78">
        <f>IF(F2="USD",D2*VLOOKUP(L2,'Kursy walut'!C:E,2,0),IF(F2="EUR",D2*VLOOKUP(L2,'Kursy walut'!C:E,3,0),D2))</f>
        <v>36495</v>
      </c>
      <c r="L2" s="79" t="s">
        <v>85</v>
      </c>
      <c r="M2" s="80">
        <f>D2/VLOOKUP(F2,'Kursy walut'!C:E,2,0)</f>
        <v>35698.914213049007</v>
      </c>
      <c r="N2" s="81" t="s">
        <v>86</v>
      </c>
      <c r="O2" s="82">
        <f>D2/VLOOKUP(F2,'Kursy walut'!C:E,3,0)</f>
        <v>36495</v>
      </c>
      <c r="P2" s="81" t="s">
        <v>85</v>
      </c>
      <c r="Q2" s="81" t="e">
        <f t="shared" ref="Q2:Q21" si="0">RANK(O2,O$2:O$118,1)</f>
        <v>#VALUE!</v>
      </c>
    </row>
    <row r="3" spans="1:17" ht="15.75" customHeight="1" x14ac:dyDescent="0.15">
      <c r="A3" s="73" t="s">
        <v>69</v>
      </c>
      <c r="B3" s="74" t="s">
        <v>516</v>
      </c>
      <c r="C3" s="83" t="s">
        <v>517</v>
      </c>
      <c r="D3" s="83" t="s">
        <v>518</v>
      </c>
      <c r="E3" s="83" t="s">
        <v>519</v>
      </c>
      <c r="F3" s="83" t="s">
        <v>184</v>
      </c>
      <c r="G3" s="76" t="s">
        <v>184</v>
      </c>
      <c r="H3" s="77"/>
      <c r="I3" s="73" t="s">
        <v>69</v>
      </c>
      <c r="J3" s="74" t="s">
        <v>516</v>
      </c>
      <c r="K3" s="78" t="str">
        <f>IF(F3="USD",D3*VLOOKUP(L3,'Kursy walut'!C:E,2,0),IF(F3="EUR",D3*VLOOKUP(L3,'Kursy walut'!C:E,3,0),D3))</f>
        <v>39.00</v>
      </c>
      <c r="L3" s="79" t="s">
        <v>184</v>
      </c>
      <c r="M3" s="80" t="e">
        <f>D3/VLOOKUP(F3,'Kursy walut'!C:E,2,0)</f>
        <v>#VALUE!</v>
      </c>
      <c r="N3" s="81" t="s">
        <v>86</v>
      </c>
      <c r="O3" s="82" t="e">
        <f>D3/VLOOKUP(F3,'Kursy walut'!C:E,3,0)</f>
        <v>#VALUE!</v>
      </c>
      <c r="P3" s="81" t="s">
        <v>85</v>
      </c>
      <c r="Q3" s="81" t="e">
        <f t="shared" si="0"/>
        <v>#VALUE!</v>
      </c>
    </row>
    <row r="4" spans="1:17" ht="15.75" customHeight="1" x14ac:dyDescent="0.15">
      <c r="A4" s="73" t="s">
        <v>520</v>
      </c>
      <c r="B4" s="84" t="s">
        <v>521</v>
      </c>
      <c r="C4" s="75" t="s">
        <v>522</v>
      </c>
      <c r="D4" s="75" t="s">
        <v>523</v>
      </c>
      <c r="E4" s="75" t="s">
        <v>524</v>
      </c>
      <c r="F4" s="75" t="s">
        <v>86</v>
      </c>
      <c r="G4" s="76" t="s">
        <v>525</v>
      </c>
      <c r="H4" s="77"/>
      <c r="I4" s="73" t="s">
        <v>520</v>
      </c>
      <c r="J4" s="84" t="s">
        <v>521</v>
      </c>
      <c r="K4" s="78" t="e">
        <f>IF(F4="USD",D4*VLOOKUP(L4,'Kursy walut'!C:E,2,0),IF(F4="EUR",D4*VLOOKUP(L4,'Kursy walut'!C:E,3,0),D4))</f>
        <v>#N/A</v>
      </c>
      <c r="L4" s="85" t="s">
        <v>525</v>
      </c>
      <c r="M4" s="80">
        <f>D4/VLOOKUP(F4,'Kursy walut'!C:E,2,0)</f>
        <v>36404</v>
      </c>
      <c r="N4" s="81" t="s">
        <v>86</v>
      </c>
      <c r="O4" s="82">
        <f>D4/VLOOKUP(F4,'Kursy walut'!C:E,3,0)</f>
        <v>37215.293396033536</v>
      </c>
      <c r="P4" s="81" t="s">
        <v>85</v>
      </c>
      <c r="Q4" s="81" t="e">
        <f t="shared" si="0"/>
        <v>#VALUE!</v>
      </c>
    </row>
    <row r="5" spans="1:17" ht="15.75" customHeight="1" x14ac:dyDescent="0.15">
      <c r="A5" s="73" t="s">
        <v>52</v>
      </c>
      <c r="B5" s="74" t="s">
        <v>88</v>
      </c>
      <c r="C5" s="75" t="s">
        <v>526</v>
      </c>
      <c r="D5" s="75" t="s">
        <v>523</v>
      </c>
      <c r="E5" s="75" t="s">
        <v>527</v>
      </c>
      <c r="F5" s="75" t="s">
        <v>85</v>
      </c>
      <c r="G5" s="76" t="s">
        <v>89</v>
      </c>
      <c r="H5" s="77"/>
      <c r="I5" s="73" t="s">
        <v>52</v>
      </c>
      <c r="J5" s="74" t="s">
        <v>88</v>
      </c>
      <c r="K5" s="78">
        <f>IF(F5="USD",D5*VLOOKUP(L5,'Kursy walut'!C:E,2,0),IF(F5="EUR",D5*VLOOKUP(L5,'Kursy walut'!C:E,3,0),D5))</f>
        <v>4254874.0372000001</v>
      </c>
      <c r="L5" s="85" t="s">
        <v>89</v>
      </c>
      <c r="M5" s="80">
        <f>D5/VLOOKUP(F5,'Kursy walut'!C:E,2,0)</f>
        <v>35609.899246796442</v>
      </c>
      <c r="N5" s="81" t="s">
        <v>86</v>
      </c>
      <c r="O5" s="82">
        <f>D5/VLOOKUP(F5,'Kursy walut'!C:E,3,0)</f>
        <v>36404</v>
      </c>
      <c r="P5" s="81" t="s">
        <v>85</v>
      </c>
      <c r="Q5" s="81" t="e">
        <f t="shared" si="0"/>
        <v>#VALUE!</v>
      </c>
    </row>
    <row r="6" spans="1:17" ht="15.75" customHeight="1" x14ac:dyDescent="0.15">
      <c r="A6" s="73" t="s">
        <v>528</v>
      </c>
      <c r="B6" s="74" t="s">
        <v>216</v>
      </c>
      <c r="C6" s="75" t="s">
        <v>526</v>
      </c>
      <c r="D6" s="75" t="s">
        <v>523</v>
      </c>
      <c r="E6" s="75" t="s">
        <v>527</v>
      </c>
      <c r="F6" s="75" t="s">
        <v>85</v>
      </c>
      <c r="G6" s="76" t="s">
        <v>217</v>
      </c>
      <c r="H6" s="77"/>
      <c r="I6" s="73" t="s">
        <v>528</v>
      </c>
      <c r="J6" s="74" t="s">
        <v>216</v>
      </c>
      <c r="K6" s="78">
        <f>IF(F6="USD",D6*VLOOKUP(L6,'Kursy walut'!C:E,2,0),IF(F6="EUR",D6*VLOOKUP(L6,'Kursy walut'!C:E,3,0),D6))</f>
        <v>14387250.322799999</v>
      </c>
      <c r="L6" s="85" t="s">
        <v>217</v>
      </c>
      <c r="M6" s="80">
        <f>D6/VLOOKUP(F6,'Kursy walut'!C:E,2,0)</f>
        <v>35609.899246796442</v>
      </c>
      <c r="N6" s="81" t="s">
        <v>86</v>
      </c>
      <c r="O6" s="82">
        <f>D6/VLOOKUP(F6,'Kursy walut'!C:E,3,0)</f>
        <v>36404</v>
      </c>
      <c r="P6" s="81" t="s">
        <v>85</v>
      </c>
      <c r="Q6" s="81" t="e">
        <f t="shared" si="0"/>
        <v>#VALUE!</v>
      </c>
    </row>
    <row r="7" spans="1:17" ht="15.75" customHeight="1" x14ac:dyDescent="0.15">
      <c r="A7" s="73" t="s">
        <v>83</v>
      </c>
      <c r="B7" s="74" t="s">
        <v>90</v>
      </c>
      <c r="C7" s="75" t="s">
        <v>529</v>
      </c>
      <c r="D7" s="75" t="s">
        <v>530</v>
      </c>
      <c r="E7" s="75" t="s">
        <v>531</v>
      </c>
      <c r="F7" s="75" t="s">
        <v>91</v>
      </c>
      <c r="G7" s="76" t="s">
        <v>91</v>
      </c>
      <c r="H7" s="77"/>
      <c r="I7" s="73" t="s">
        <v>83</v>
      </c>
      <c r="J7" s="74" t="s">
        <v>90</v>
      </c>
      <c r="K7" s="78" t="str">
        <f>IF(F7="USD",D7*VLOOKUP(L7,'Kursy walut'!C:E,2,0),IF(F7="EUR",D7*VLOOKUP(L7,'Kursy walut'!C:E,3,0),D7))</f>
        <v>799</v>
      </c>
      <c r="L7" s="79" t="s">
        <v>91</v>
      </c>
      <c r="M7" s="80">
        <f>D7/VLOOKUP(F7,'Kursy walut'!C:E,2,0)</f>
        <v>5.3500427869504481</v>
      </c>
      <c r="N7" s="81" t="s">
        <v>86</v>
      </c>
      <c r="O7" s="82">
        <f>D7/VLOOKUP(F7,'Kursy walut'!C:E,3,0)</f>
        <v>5.4691002679790683</v>
      </c>
      <c r="P7" s="81" t="s">
        <v>85</v>
      </c>
      <c r="Q7" s="81" t="e">
        <f t="shared" si="0"/>
        <v>#VALUE!</v>
      </c>
    </row>
    <row r="8" spans="1:17" ht="15.75" customHeight="1" x14ac:dyDescent="0.15">
      <c r="A8" s="73" t="s">
        <v>28</v>
      </c>
      <c r="B8" s="74" t="s">
        <v>94</v>
      </c>
      <c r="C8" s="75" t="s">
        <v>513</v>
      </c>
      <c r="D8" s="75" t="s">
        <v>514</v>
      </c>
      <c r="E8" s="75" t="s">
        <v>515</v>
      </c>
      <c r="F8" s="75" t="s">
        <v>85</v>
      </c>
      <c r="G8" s="76" t="s">
        <v>85</v>
      </c>
      <c r="H8" s="77"/>
      <c r="I8" s="73" t="s">
        <v>28</v>
      </c>
      <c r="J8" s="74" t="s">
        <v>94</v>
      </c>
      <c r="K8" s="78">
        <f>IF(F8="USD",D8*VLOOKUP(L8,'Kursy walut'!C:E,2,0),IF(F8="EUR",D8*VLOOKUP(L8,'Kursy walut'!C:E,3,0),D8))</f>
        <v>36495</v>
      </c>
      <c r="L8" s="79" t="s">
        <v>85</v>
      </c>
      <c r="M8" s="80">
        <f>D8/VLOOKUP(F8,'Kursy walut'!C:E,2,0)</f>
        <v>35698.914213049007</v>
      </c>
      <c r="N8" s="81" t="s">
        <v>86</v>
      </c>
      <c r="O8" s="82">
        <f>D8/VLOOKUP(F8,'Kursy walut'!C:E,3,0)</f>
        <v>36495</v>
      </c>
      <c r="P8" s="81" t="s">
        <v>85</v>
      </c>
      <c r="Q8" s="81" t="e">
        <f t="shared" si="0"/>
        <v>#VALUE!</v>
      </c>
    </row>
    <row r="9" spans="1:17" ht="15.75" customHeight="1" x14ac:dyDescent="0.15">
      <c r="A9" s="73" t="s">
        <v>57</v>
      </c>
      <c r="B9" s="74" t="s">
        <v>92</v>
      </c>
      <c r="C9" s="75" t="s">
        <v>532</v>
      </c>
      <c r="D9" s="75" t="s">
        <v>533</v>
      </c>
      <c r="E9" s="75" t="s">
        <v>534</v>
      </c>
      <c r="F9" s="75" t="s">
        <v>93</v>
      </c>
      <c r="G9" s="76" t="s">
        <v>93</v>
      </c>
      <c r="H9" s="77"/>
      <c r="I9" s="73" t="s">
        <v>57</v>
      </c>
      <c r="J9" s="74" t="s">
        <v>92</v>
      </c>
      <c r="K9" s="78" t="str">
        <f>IF(F9="USD",D9*VLOOKUP(L9,'Kursy walut'!C:E,2,0),IF(F9="EUR",D9*VLOOKUP(L9,'Kursy walut'!C:E,3,0),D9))</f>
        <v>16.99</v>
      </c>
      <c r="L9" s="79" t="s">
        <v>93</v>
      </c>
      <c r="M9" s="80" t="e">
        <f>D9/VLOOKUP(F9,'Kursy walut'!C:E,2,0)</f>
        <v>#VALUE!</v>
      </c>
      <c r="N9" s="81" t="s">
        <v>86</v>
      </c>
      <c r="O9" s="82" t="e">
        <f>D9/VLOOKUP(F9,'Kursy walut'!C:E,3,0)</f>
        <v>#VALUE!</v>
      </c>
      <c r="P9" s="81" t="s">
        <v>85</v>
      </c>
      <c r="Q9" s="81" t="e">
        <f t="shared" si="0"/>
        <v>#VALUE!</v>
      </c>
    </row>
    <row r="10" spans="1:17" ht="15.75" customHeight="1" x14ac:dyDescent="0.15">
      <c r="A10" s="73" t="s">
        <v>535</v>
      </c>
      <c r="B10" s="74" t="s">
        <v>536</v>
      </c>
      <c r="C10" s="75" t="s">
        <v>526</v>
      </c>
      <c r="D10" s="75" t="s">
        <v>523</v>
      </c>
      <c r="E10" s="75" t="s">
        <v>527</v>
      </c>
      <c r="F10" s="75" t="s">
        <v>85</v>
      </c>
      <c r="G10" s="76" t="s">
        <v>224</v>
      </c>
      <c r="H10" s="77"/>
      <c r="I10" s="73" t="s">
        <v>535</v>
      </c>
      <c r="J10" s="74" t="s">
        <v>536</v>
      </c>
      <c r="K10" s="78">
        <f>IF(F10="USD",D10*VLOOKUP(L10,'Kursy walut'!C:E,2,0),IF(F10="EUR",D10*VLOOKUP(L10,'Kursy walut'!C:E,3,0),D10))</f>
        <v>60692.748800000001</v>
      </c>
      <c r="L10" s="85" t="s">
        <v>224</v>
      </c>
      <c r="M10" s="80">
        <f>D10/VLOOKUP(F10,'Kursy walut'!C:E,2,0)</f>
        <v>35609.899246796442</v>
      </c>
      <c r="N10" s="81" t="s">
        <v>86</v>
      </c>
      <c r="O10" s="82">
        <f>D10/VLOOKUP(F10,'Kursy walut'!C:E,3,0)</f>
        <v>36404</v>
      </c>
      <c r="P10" s="81" t="s">
        <v>85</v>
      </c>
      <c r="Q10" s="81" t="e">
        <f t="shared" si="0"/>
        <v>#VALUE!</v>
      </c>
    </row>
    <row r="11" spans="1:17" ht="15.75" customHeight="1" x14ac:dyDescent="0.15">
      <c r="A11" s="73" t="s">
        <v>53</v>
      </c>
      <c r="B11" s="74" t="s">
        <v>95</v>
      </c>
      <c r="C11" s="75" t="s">
        <v>526</v>
      </c>
      <c r="D11" s="75" t="s">
        <v>523</v>
      </c>
      <c r="E11" s="75" t="s">
        <v>527</v>
      </c>
      <c r="F11" s="75" t="s">
        <v>85</v>
      </c>
      <c r="G11" s="76" t="s">
        <v>96</v>
      </c>
      <c r="H11" s="77"/>
      <c r="I11" s="73" t="s">
        <v>53</v>
      </c>
      <c r="J11" s="74" t="s">
        <v>95</v>
      </c>
      <c r="K11" s="78">
        <f>IF(F11="USD",D11*VLOOKUP(L11,'Kursy walut'!C:E,2,0),IF(F11="EUR",D11*VLOOKUP(L11,'Kursy walut'!C:E,3,0),D11))</f>
        <v>71198.943199999994</v>
      </c>
      <c r="L11" s="85" t="s">
        <v>96</v>
      </c>
      <c r="M11" s="80">
        <f>D11/VLOOKUP(F11,'Kursy walut'!C:E,2,0)</f>
        <v>35609.899246796442</v>
      </c>
      <c r="N11" s="81" t="s">
        <v>86</v>
      </c>
      <c r="O11" s="82">
        <f>D11/VLOOKUP(F11,'Kursy walut'!C:E,3,0)</f>
        <v>36404</v>
      </c>
      <c r="P11" s="81" t="s">
        <v>85</v>
      </c>
      <c r="Q11" s="81" t="e">
        <f t="shared" si="0"/>
        <v>#VALUE!</v>
      </c>
    </row>
    <row r="12" spans="1:17" ht="15.75" customHeight="1" x14ac:dyDescent="0.15">
      <c r="A12" s="73" t="s">
        <v>537</v>
      </c>
      <c r="B12" s="74" t="s">
        <v>538</v>
      </c>
      <c r="C12" s="75" t="s">
        <v>539</v>
      </c>
      <c r="D12" s="75" t="s">
        <v>540</v>
      </c>
      <c r="E12" s="75" t="s">
        <v>515</v>
      </c>
      <c r="F12" s="75" t="s">
        <v>85</v>
      </c>
      <c r="G12" s="76" t="s">
        <v>85</v>
      </c>
      <c r="H12" s="77"/>
      <c r="I12" s="73" t="s">
        <v>537</v>
      </c>
      <c r="J12" s="74" t="s">
        <v>538</v>
      </c>
      <c r="K12" s="78" t="e">
        <f>IF(F12="USD",D12*VLOOKUP(L12,'Kursy walut'!C:E,2,0),IF(F12="EUR",D12*VLOOKUP(L12,'Kursy walut'!C:E,3,0),D12))</f>
        <v>#VALUE!</v>
      </c>
      <c r="L12" s="79" t="s">
        <v>85</v>
      </c>
      <c r="M12" s="80" t="e">
        <f>D12/VLOOKUP(F12,'Kursy walut'!C:E,2,0)</f>
        <v>#VALUE!</v>
      </c>
      <c r="N12" s="81" t="s">
        <v>86</v>
      </c>
      <c r="O12" s="82" t="e">
        <f>D12/VLOOKUP(F12,'Kursy walut'!C:E,3,0)</f>
        <v>#VALUE!</v>
      </c>
      <c r="P12" s="81" t="s">
        <v>85</v>
      </c>
      <c r="Q12" s="81" t="e">
        <f t="shared" si="0"/>
        <v>#VALUE!</v>
      </c>
    </row>
    <row r="13" spans="1:17" ht="15.75" customHeight="1" x14ac:dyDescent="0.15">
      <c r="A13" s="73" t="s">
        <v>54</v>
      </c>
      <c r="B13" s="74" t="s">
        <v>99</v>
      </c>
      <c r="C13" s="75" t="s">
        <v>526</v>
      </c>
      <c r="D13" s="75" t="s">
        <v>523</v>
      </c>
      <c r="E13" s="75" t="s">
        <v>527</v>
      </c>
      <c r="F13" s="75" t="s">
        <v>85</v>
      </c>
      <c r="G13" s="76" t="s">
        <v>100</v>
      </c>
      <c r="H13" s="77"/>
      <c r="I13" s="73" t="s">
        <v>54</v>
      </c>
      <c r="J13" s="74" t="s">
        <v>99</v>
      </c>
      <c r="K13" s="78">
        <f>IF(F13="USD",D13*VLOOKUP(L13,'Kursy walut'!C:E,2,0),IF(F13="EUR",D13*VLOOKUP(L13,'Kursy walut'!C:E,3,0),D13))</f>
        <v>71198.943199999994</v>
      </c>
      <c r="L13" s="85" t="s">
        <v>100</v>
      </c>
      <c r="M13" s="80">
        <f>D13/VLOOKUP(F13,'Kursy walut'!C:E,2,0)</f>
        <v>35609.899246796442</v>
      </c>
      <c r="N13" s="81" t="s">
        <v>86</v>
      </c>
      <c r="O13" s="82">
        <f>D13/VLOOKUP(F13,'Kursy walut'!C:E,3,0)</f>
        <v>36404</v>
      </c>
      <c r="P13" s="81" t="s">
        <v>85</v>
      </c>
      <c r="Q13" s="81" t="e">
        <f t="shared" si="0"/>
        <v>#VALUE!</v>
      </c>
    </row>
    <row r="14" spans="1:17" ht="15.75" customHeight="1" x14ac:dyDescent="0.15">
      <c r="A14" s="73" t="s">
        <v>541</v>
      </c>
      <c r="B14" s="74" t="s">
        <v>542</v>
      </c>
      <c r="C14" s="75" t="s">
        <v>522</v>
      </c>
      <c r="D14" s="75" t="s">
        <v>532</v>
      </c>
      <c r="E14" s="75" t="s">
        <v>543</v>
      </c>
      <c r="F14" s="75" t="s">
        <v>86</v>
      </c>
      <c r="G14" s="76" t="s">
        <v>236</v>
      </c>
      <c r="H14" s="77"/>
      <c r="I14" s="73" t="s">
        <v>541</v>
      </c>
      <c r="J14" s="74" t="s">
        <v>542</v>
      </c>
      <c r="K14" s="78">
        <f>IF(F14="USD",D14*VLOOKUP(L14,'Kursy walut'!C:E,2,0),IF(F14="EUR",D14*VLOOKUP(L14,'Kursy walut'!C:E,3,0),D14))</f>
        <v>252196.14799999999</v>
      </c>
      <c r="L14" s="85" t="s">
        <v>236</v>
      </c>
      <c r="M14" s="80">
        <f>D14/VLOOKUP(F14,'Kursy walut'!C:E,2,0)</f>
        <v>36434</v>
      </c>
      <c r="N14" s="81" t="s">
        <v>86</v>
      </c>
      <c r="O14" s="82">
        <f>D14/VLOOKUP(F14,'Kursy walut'!C:E,3,0)</f>
        <v>37245.961970967081</v>
      </c>
      <c r="P14" s="81" t="s">
        <v>85</v>
      </c>
      <c r="Q14" s="81" t="e">
        <f t="shared" si="0"/>
        <v>#VALUE!</v>
      </c>
    </row>
    <row r="15" spans="1:17" ht="15.75" customHeight="1" x14ac:dyDescent="0.15">
      <c r="A15" s="73" t="s">
        <v>77</v>
      </c>
      <c r="B15" s="74" t="s">
        <v>97</v>
      </c>
      <c r="C15" s="83" t="s">
        <v>544</v>
      </c>
      <c r="D15" s="83" t="s">
        <v>545</v>
      </c>
      <c r="E15" s="83" t="s">
        <v>546</v>
      </c>
      <c r="F15" s="83" t="s">
        <v>98</v>
      </c>
      <c r="G15" s="76" t="s">
        <v>98</v>
      </c>
      <c r="H15" s="77"/>
      <c r="I15" s="73" t="s">
        <v>77</v>
      </c>
      <c r="J15" s="74" t="s">
        <v>97</v>
      </c>
      <c r="K15" s="78" t="str">
        <f>IF(F15="USD",D15*VLOOKUP(L15,'Kursy walut'!C:E,2,0),IF(F15="EUR",D15*VLOOKUP(L15,'Kursy walut'!C:E,3,0),D15))</f>
        <v>39.90</v>
      </c>
      <c r="L15" s="79" t="s">
        <v>98</v>
      </c>
      <c r="M15" s="80" t="e">
        <f>D15/VLOOKUP(F15,'Kursy walut'!C:E,2,0)</f>
        <v>#VALUE!</v>
      </c>
      <c r="N15" s="81" t="s">
        <v>86</v>
      </c>
      <c r="O15" s="82" t="e">
        <f>D15/VLOOKUP(F15,'Kursy walut'!C:E,3,0)</f>
        <v>#VALUE!</v>
      </c>
      <c r="P15" s="81" t="s">
        <v>85</v>
      </c>
      <c r="Q15" s="81" t="e">
        <f t="shared" si="0"/>
        <v>#VALUE!</v>
      </c>
    </row>
    <row r="16" spans="1:17" ht="15.75" customHeight="1" x14ac:dyDescent="0.15">
      <c r="A16" s="73" t="s">
        <v>547</v>
      </c>
      <c r="B16" s="74" t="s">
        <v>548</v>
      </c>
      <c r="C16" s="75" t="s">
        <v>526</v>
      </c>
      <c r="D16" s="75" t="s">
        <v>523</v>
      </c>
      <c r="E16" s="75" t="s">
        <v>527</v>
      </c>
      <c r="F16" s="75" t="s">
        <v>85</v>
      </c>
      <c r="G16" s="76" t="s">
        <v>244</v>
      </c>
      <c r="H16" s="77"/>
      <c r="I16" s="73" t="s">
        <v>547</v>
      </c>
      <c r="J16" s="74" t="s">
        <v>548</v>
      </c>
      <c r="K16" s="78">
        <f>IF(F16="USD",D16*VLOOKUP(L16,'Kursy walut'!C:E,2,0),IF(F16="EUR",D16*VLOOKUP(L16,'Kursy walut'!C:E,3,0),D16))</f>
        <v>90227.313999999998</v>
      </c>
      <c r="L16" s="85" t="s">
        <v>244</v>
      </c>
      <c r="M16" s="80">
        <f>D16/VLOOKUP(F16,'Kursy walut'!C:E,2,0)</f>
        <v>35609.899246796442</v>
      </c>
      <c r="N16" s="81" t="s">
        <v>86</v>
      </c>
      <c r="O16" s="82">
        <f>D16/VLOOKUP(F16,'Kursy walut'!C:E,3,0)</f>
        <v>36404</v>
      </c>
      <c r="P16" s="81" t="s">
        <v>85</v>
      </c>
      <c r="Q16" s="81" t="e">
        <f t="shared" si="0"/>
        <v>#VALUE!</v>
      </c>
    </row>
    <row r="17" spans="1:17" ht="15.75" customHeight="1" x14ac:dyDescent="0.15">
      <c r="A17" s="73" t="s">
        <v>37</v>
      </c>
      <c r="B17" s="74" t="s">
        <v>101</v>
      </c>
      <c r="C17" s="83" t="s">
        <v>549</v>
      </c>
      <c r="D17" s="83" t="s">
        <v>550</v>
      </c>
      <c r="E17" s="83" t="s">
        <v>551</v>
      </c>
      <c r="F17" s="83" t="s">
        <v>102</v>
      </c>
      <c r="G17" s="76" t="s">
        <v>102</v>
      </c>
      <c r="H17" s="77"/>
      <c r="I17" s="73" t="s">
        <v>37</v>
      </c>
      <c r="J17" s="74" t="s">
        <v>101</v>
      </c>
      <c r="K17" s="78" t="str">
        <f>IF(F17="USD",D17*VLOOKUP(L17,'Kursy walut'!C:E,2,0),IF(F17="EUR",D17*VLOOKUP(L17,'Kursy walut'!C:E,3,0),D17))</f>
        <v>16.49</v>
      </c>
      <c r="L17" s="79" t="s">
        <v>102</v>
      </c>
      <c r="M17" s="80" t="e">
        <f>D17/VLOOKUP(F17,'Kursy walut'!C:E,2,0)</f>
        <v>#VALUE!</v>
      </c>
      <c r="N17" s="81" t="s">
        <v>86</v>
      </c>
      <c r="O17" s="82" t="e">
        <f>D17/VLOOKUP(F17,'Kursy walut'!C:E,3,0)</f>
        <v>#VALUE!</v>
      </c>
      <c r="P17" s="81" t="s">
        <v>85</v>
      </c>
      <c r="Q17" s="81" t="e">
        <f t="shared" si="0"/>
        <v>#VALUE!</v>
      </c>
    </row>
    <row r="18" spans="1:17" ht="15.75" customHeight="1" x14ac:dyDescent="0.15">
      <c r="A18" s="73" t="s">
        <v>25</v>
      </c>
      <c r="B18" s="74" t="s">
        <v>177</v>
      </c>
      <c r="C18" s="83" t="s">
        <v>552</v>
      </c>
      <c r="D18" s="83" t="s">
        <v>553</v>
      </c>
      <c r="E18" s="83" t="s">
        <v>554</v>
      </c>
      <c r="F18" s="83" t="s">
        <v>178</v>
      </c>
      <c r="G18" s="76" t="s">
        <v>178</v>
      </c>
      <c r="H18" s="77"/>
      <c r="I18" s="73" t="s">
        <v>25</v>
      </c>
      <c r="J18" s="74" t="s">
        <v>177</v>
      </c>
      <c r="K18" s="78" t="str">
        <f>IF(F18="USD",D18*VLOOKUP(L18,'Kursy walut'!C:E,2,0),IF(F18="EUR",D18*VLOOKUP(L18,'Kursy walut'!C:E,3,0),D18))</f>
        <v>18.90</v>
      </c>
      <c r="L18" s="79" t="s">
        <v>178</v>
      </c>
      <c r="M18" s="80" t="e">
        <f>D18/VLOOKUP(F18,'Kursy walut'!C:E,2,0)</f>
        <v>#VALUE!</v>
      </c>
      <c r="N18" s="81" t="s">
        <v>86</v>
      </c>
      <c r="O18" s="82" t="e">
        <f>D18/VLOOKUP(F18,'Kursy walut'!C:E,3,0)</f>
        <v>#VALUE!</v>
      </c>
      <c r="P18" s="81" t="s">
        <v>85</v>
      </c>
      <c r="Q18" s="81" t="e">
        <f t="shared" si="0"/>
        <v>#VALUE!</v>
      </c>
    </row>
    <row r="19" spans="1:17" ht="15.75" customHeight="1" x14ac:dyDescent="0.15">
      <c r="A19" s="73" t="s">
        <v>555</v>
      </c>
      <c r="B19" s="74" t="s">
        <v>556</v>
      </c>
      <c r="C19" s="83" t="s">
        <v>522</v>
      </c>
      <c r="D19" s="83" t="s">
        <v>523</v>
      </c>
      <c r="E19" s="83" t="s">
        <v>524</v>
      </c>
      <c r="F19" s="83" t="s">
        <v>86</v>
      </c>
      <c r="G19" s="76" t="s">
        <v>251</v>
      </c>
      <c r="H19" s="77"/>
      <c r="I19" s="73" t="s">
        <v>555</v>
      </c>
      <c r="J19" s="74" t="s">
        <v>556</v>
      </c>
      <c r="K19" s="78">
        <f>IF(F19="USD",D19*VLOOKUP(L19,'Kursy walut'!C:E,2,0),IF(F19="EUR",D19*VLOOKUP(L19,'Kursy walut'!C:E,3,0),D19))</f>
        <v>24392219.889199998</v>
      </c>
      <c r="L19" s="85" t="s">
        <v>251</v>
      </c>
      <c r="M19" s="80">
        <f>D19/VLOOKUP(F19,'Kursy walut'!C:E,2,0)</f>
        <v>36404</v>
      </c>
      <c r="N19" s="81" t="s">
        <v>86</v>
      </c>
      <c r="O19" s="82">
        <f>D19/VLOOKUP(F19,'Kursy walut'!C:E,3,0)</f>
        <v>37215.293396033536</v>
      </c>
      <c r="P19" s="81" t="s">
        <v>85</v>
      </c>
      <c r="Q19" s="81" t="e">
        <f t="shared" si="0"/>
        <v>#VALUE!</v>
      </c>
    </row>
    <row r="20" spans="1:17" ht="15.75" customHeight="1" x14ac:dyDescent="0.15">
      <c r="A20" s="73" t="s">
        <v>68</v>
      </c>
      <c r="B20" s="74" t="s">
        <v>103</v>
      </c>
      <c r="C20" s="83" t="s">
        <v>557</v>
      </c>
      <c r="D20" s="83" t="s">
        <v>558</v>
      </c>
      <c r="E20" s="83" t="s">
        <v>559</v>
      </c>
      <c r="F20" s="83" t="s">
        <v>104</v>
      </c>
      <c r="G20" s="76" t="s">
        <v>104</v>
      </c>
      <c r="H20" s="77"/>
      <c r="I20" s="73" t="s">
        <v>68</v>
      </c>
      <c r="J20" s="74" t="s">
        <v>103</v>
      </c>
      <c r="K20" s="78" t="str">
        <f>IF(F20="USD",D20*VLOOKUP(L20,'Kursy walut'!C:E,2,0),IF(F20="EUR",D20*VLOOKUP(L20,'Kursy walut'!C:E,3,0),D20))</f>
        <v>8,320.00</v>
      </c>
      <c r="L20" s="79" t="s">
        <v>104</v>
      </c>
      <c r="M20" s="80" t="e">
        <f>D20/VLOOKUP(F20,'Kursy walut'!C:E,2,0)</f>
        <v>#VALUE!</v>
      </c>
      <c r="N20" s="81" t="s">
        <v>86</v>
      </c>
      <c r="O20" s="82" t="e">
        <f>D20/VLOOKUP(F20,'Kursy walut'!C:E,3,0)</f>
        <v>#VALUE!</v>
      </c>
      <c r="P20" s="81" t="s">
        <v>85</v>
      </c>
      <c r="Q20" s="81" t="e">
        <f t="shared" si="0"/>
        <v>#VALUE!</v>
      </c>
    </row>
    <row r="21" spans="1:17" ht="15.75" customHeight="1" x14ac:dyDescent="0.15">
      <c r="A21" s="73" t="s">
        <v>560</v>
      </c>
      <c r="B21" s="74" t="s">
        <v>561</v>
      </c>
      <c r="C21" s="83" t="s">
        <v>522</v>
      </c>
      <c r="D21" s="83" t="s">
        <v>523</v>
      </c>
      <c r="E21" s="83" t="s">
        <v>524</v>
      </c>
      <c r="F21" s="83" t="s">
        <v>86</v>
      </c>
      <c r="G21" s="76" t="s">
        <v>255</v>
      </c>
      <c r="H21" s="77"/>
      <c r="I21" s="73" t="s">
        <v>560</v>
      </c>
      <c r="J21" s="74" t="s">
        <v>561</v>
      </c>
      <c r="K21" s="78">
        <f>IF(F21="USD",D21*VLOOKUP(L21,'Kursy walut'!C:E,2,0),IF(F21="EUR",D21*VLOOKUP(L21,'Kursy walut'!C:E,3,0),D21))</f>
        <v>24438926.2212</v>
      </c>
      <c r="L21" s="85" t="s">
        <v>255</v>
      </c>
      <c r="M21" s="80">
        <f>D21/VLOOKUP(F21,'Kursy walut'!C:E,2,0)</f>
        <v>36404</v>
      </c>
      <c r="N21" s="81" t="s">
        <v>86</v>
      </c>
      <c r="O21" s="82">
        <f>D21/VLOOKUP(F21,'Kursy walut'!C:E,3,0)</f>
        <v>37215.293396033536</v>
      </c>
      <c r="P21" s="81" t="s">
        <v>85</v>
      </c>
      <c r="Q21" s="81" t="e">
        <f t="shared" si="0"/>
        <v>#VALUE!</v>
      </c>
    </row>
    <row r="22" spans="1:17" ht="15.75" customHeight="1" x14ac:dyDescent="0.15">
      <c r="A22" s="86" t="s">
        <v>562</v>
      </c>
      <c r="B22" s="87" t="s">
        <v>563</v>
      </c>
      <c r="C22" s="217" t="s">
        <v>564</v>
      </c>
      <c r="D22" s="199"/>
      <c r="E22" s="199"/>
      <c r="F22" s="88"/>
      <c r="G22" s="89"/>
      <c r="H22" s="90"/>
      <c r="I22" s="86" t="s">
        <v>562</v>
      </c>
      <c r="J22" s="87" t="s">
        <v>563</v>
      </c>
      <c r="K22" s="91">
        <f>IF(F22="USD",D22*VLOOKUP(L22,'Kursy walut'!C:E,2,0),IF(F22="EUR",D22*VLOOKUP(L22,'Kursy walut'!C:E,3,0),D22))</f>
        <v>0</v>
      </c>
      <c r="L22" s="92"/>
      <c r="M22" s="93"/>
      <c r="N22" s="92"/>
      <c r="O22" s="91"/>
      <c r="P22" s="92"/>
      <c r="Q22" s="94"/>
    </row>
    <row r="23" spans="1:17" ht="15.75" customHeight="1" x14ac:dyDescent="0.15">
      <c r="A23" s="73" t="s">
        <v>80</v>
      </c>
      <c r="B23" s="74" t="s">
        <v>105</v>
      </c>
      <c r="C23" s="95" t="s">
        <v>565</v>
      </c>
      <c r="D23" s="83" t="s">
        <v>566</v>
      </c>
      <c r="E23" s="83" t="s">
        <v>567</v>
      </c>
      <c r="F23" s="83" t="s">
        <v>106</v>
      </c>
      <c r="G23" s="76" t="s">
        <v>106</v>
      </c>
      <c r="H23" s="77"/>
      <c r="I23" s="73" t="s">
        <v>80</v>
      </c>
      <c r="J23" s="74" t="s">
        <v>105</v>
      </c>
      <c r="K23" s="78" t="str">
        <f>IF(F23="USD",D23*VLOOKUP(L23,'Kursy walut'!C:E,2,0),IF(F23="EUR",D23*VLOOKUP(L23,'Kursy walut'!C:E,3,0),D23))</f>
        <v>26,900.00</v>
      </c>
      <c r="L23" s="79" t="s">
        <v>106</v>
      </c>
      <c r="M23" s="80" t="e">
        <f>D23/VLOOKUP(F23,'Kursy walut'!C:E,2,0)</f>
        <v>#VALUE!</v>
      </c>
      <c r="N23" s="81" t="s">
        <v>86</v>
      </c>
      <c r="O23" s="82" t="e">
        <f>D23/VLOOKUP(F23,'Kursy walut'!C:E,3,0)</f>
        <v>#VALUE!</v>
      </c>
      <c r="P23" s="81" t="s">
        <v>85</v>
      </c>
      <c r="Q23" s="81" t="e">
        <f t="shared" ref="Q23:Q94" si="1">RANK(O23,O$2:O$118,1)</f>
        <v>#VALUE!</v>
      </c>
    </row>
    <row r="24" spans="1:17" ht="15.75" customHeight="1" x14ac:dyDescent="0.15">
      <c r="A24" s="73" t="s">
        <v>568</v>
      </c>
      <c r="B24" s="74" t="s">
        <v>569</v>
      </c>
      <c r="C24" s="83" t="s">
        <v>570</v>
      </c>
      <c r="D24" s="83" t="s">
        <v>514</v>
      </c>
      <c r="E24" s="83" t="s">
        <v>571</v>
      </c>
      <c r="F24" s="83" t="s">
        <v>86</v>
      </c>
      <c r="G24" s="76" t="s">
        <v>263</v>
      </c>
      <c r="H24" s="77"/>
      <c r="I24" s="73" t="s">
        <v>568</v>
      </c>
      <c r="J24" s="74" t="s">
        <v>569</v>
      </c>
      <c r="K24" s="78">
        <f>IF(F24="USD",D24*VLOOKUP(L24,'Kursy walut'!C:E,2,0),IF(F24="EUR",D24*VLOOKUP(L24,'Kursy walut'!C:E,3,0),D24))</f>
        <v>22979281.122000001</v>
      </c>
      <c r="L24" s="85" t="s">
        <v>263</v>
      </c>
      <c r="M24" s="80">
        <f>D24/VLOOKUP(F24,'Kursy walut'!C:E,2,0)</f>
        <v>36495</v>
      </c>
      <c r="N24" s="81" t="s">
        <v>86</v>
      </c>
      <c r="O24" s="82">
        <f>D24/VLOOKUP(F24,'Kursy walut'!C:E,3,0)</f>
        <v>37308.321406665302</v>
      </c>
      <c r="P24" s="81" t="s">
        <v>85</v>
      </c>
      <c r="Q24" s="81" t="e">
        <f t="shared" si="1"/>
        <v>#VALUE!</v>
      </c>
    </row>
    <row r="25" spans="1:17" ht="15.75" customHeight="1" x14ac:dyDescent="0.15">
      <c r="A25" s="73" t="s">
        <v>572</v>
      </c>
      <c r="B25" s="74" t="s">
        <v>573</v>
      </c>
      <c r="C25" s="83" t="s">
        <v>522</v>
      </c>
      <c r="D25" s="83" t="s">
        <v>532</v>
      </c>
      <c r="E25" s="83" t="s">
        <v>543</v>
      </c>
      <c r="F25" s="83" t="s">
        <v>86</v>
      </c>
      <c r="G25" s="76" t="s">
        <v>86</v>
      </c>
      <c r="H25" s="77"/>
      <c r="I25" s="73" t="s">
        <v>572</v>
      </c>
      <c r="J25" s="74" t="s">
        <v>573</v>
      </c>
      <c r="K25" s="78">
        <f>IF(F25="USD",D25*VLOOKUP(L25,'Kursy walut'!C:E,2,0),IF(F25="EUR",D25*VLOOKUP(L25,'Kursy walut'!C:E,3,0),D25))</f>
        <v>36434</v>
      </c>
      <c r="L25" s="79" t="s">
        <v>86</v>
      </c>
      <c r="M25" s="80">
        <f>D25/VLOOKUP(F25,'Kursy walut'!C:E,2,0)</f>
        <v>36434</v>
      </c>
      <c r="N25" s="81" t="s">
        <v>86</v>
      </c>
      <c r="O25" s="82">
        <f>D25/VLOOKUP(F25,'Kursy walut'!C:E,3,0)</f>
        <v>37245.961970967081</v>
      </c>
      <c r="P25" s="81" t="s">
        <v>85</v>
      </c>
      <c r="Q25" s="81" t="e">
        <f t="shared" si="1"/>
        <v>#VALUE!</v>
      </c>
    </row>
    <row r="26" spans="1:17" ht="15.75" customHeight="1" x14ac:dyDescent="0.15">
      <c r="A26" s="73" t="s">
        <v>574</v>
      </c>
      <c r="B26" s="74" t="s">
        <v>575</v>
      </c>
      <c r="C26" s="95" t="s">
        <v>526</v>
      </c>
      <c r="D26" s="83" t="s">
        <v>532</v>
      </c>
      <c r="E26" s="83" t="s">
        <v>576</v>
      </c>
      <c r="F26" s="75" t="s">
        <v>85</v>
      </c>
      <c r="G26" s="76" t="s">
        <v>85</v>
      </c>
      <c r="H26" s="77"/>
      <c r="I26" s="73" t="s">
        <v>574</v>
      </c>
      <c r="J26" s="74" t="s">
        <v>575</v>
      </c>
      <c r="K26" s="78">
        <f>IF(F26="USD",D26*VLOOKUP(L26,'Kursy walut'!C:E,2,0),IF(F26="EUR",D26*VLOOKUP(L26,'Kursy walut'!C:E,3,0),D26))</f>
        <v>36434</v>
      </c>
      <c r="L26" s="79" t="s">
        <v>85</v>
      </c>
      <c r="M26" s="80">
        <f>D26/VLOOKUP(F26,'Kursy walut'!C:E,2,0)</f>
        <v>35639.244840066516</v>
      </c>
      <c r="N26" s="81" t="s">
        <v>86</v>
      </c>
      <c r="O26" s="82">
        <f>D26/VLOOKUP(F26,'Kursy walut'!C:E,3,0)</f>
        <v>36434</v>
      </c>
      <c r="P26" s="81" t="s">
        <v>85</v>
      </c>
      <c r="Q26" s="81" t="e">
        <f t="shared" si="1"/>
        <v>#VALUE!</v>
      </c>
    </row>
    <row r="27" spans="1:17" ht="15.75" customHeight="1" x14ac:dyDescent="0.15">
      <c r="A27" s="73" t="s">
        <v>41</v>
      </c>
      <c r="B27" s="74" t="s">
        <v>109</v>
      </c>
      <c r="C27" s="83" t="s">
        <v>577</v>
      </c>
      <c r="D27" s="83" t="s">
        <v>578</v>
      </c>
      <c r="E27" s="83" t="s">
        <v>579</v>
      </c>
      <c r="F27" s="83" t="s">
        <v>110</v>
      </c>
      <c r="G27" s="76" t="s">
        <v>110</v>
      </c>
      <c r="H27" s="77"/>
      <c r="I27" s="73" t="s">
        <v>41</v>
      </c>
      <c r="J27" s="74" t="s">
        <v>109</v>
      </c>
      <c r="K27" s="78" t="str">
        <f>IF(F27="USD",D27*VLOOKUP(L27,'Kursy walut'!C:E,2,0),IF(F27="EUR",D27*VLOOKUP(L27,'Kursy walut'!C:E,3,0),D27))</f>
        <v>259.00</v>
      </c>
      <c r="L27" s="79" t="s">
        <v>110</v>
      </c>
      <c r="M27" s="80" t="e">
        <f>D27/VLOOKUP(F27,'Kursy walut'!C:E,2,0)</f>
        <v>#VALUE!</v>
      </c>
      <c r="N27" s="81" t="s">
        <v>86</v>
      </c>
      <c r="O27" s="82" t="e">
        <f>D27/VLOOKUP(F27,'Kursy walut'!C:E,3,0)</f>
        <v>#VALUE!</v>
      </c>
      <c r="P27" s="81" t="s">
        <v>85</v>
      </c>
      <c r="Q27" s="81" t="e">
        <f t="shared" si="1"/>
        <v>#VALUE!</v>
      </c>
    </row>
    <row r="28" spans="1:17" ht="15.75" customHeight="1" x14ac:dyDescent="0.15">
      <c r="A28" s="73" t="s">
        <v>29</v>
      </c>
      <c r="B28" s="74" t="s">
        <v>116</v>
      </c>
      <c r="C28" s="83" t="s">
        <v>526</v>
      </c>
      <c r="D28" s="83" t="s">
        <v>514</v>
      </c>
      <c r="E28" s="83" t="s">
        <v>580</v>
      </c>
      <c r="F28" s="75" t="s">
        <v>85</v>
      </c>
      <c r="G28" s="76" t="s">
        <v>85</v>
      </c>
      <c r="H28" s="77"/>
      <c r="I28" s="73" t="s">
        <v>29</v>
      </c>
      <c r="J28" s="74" t="s">
        <v>116</v>
      </c>
      <c r="K28" s="78">
        <f>IF(F28="USD",D28*VLOOKUP(L28,'Kursy walut'!C:E,2,0),IF(F28="EUR",D28*VLOOKUP(L28,'Kursy walut'!C:E,3,0),D28))</f>
        <v>36495</v>
      </c>
      <c r="L28" s="79" t="s">
        <v>85</v>
      </c>
      <c r="M28" s="80">
        <f>D28/VLOOKUP(F28,'Kursy walut'!C:E,2,0)</f>
        <v>35698.914213049007</v>
      </c>
      <c r="N28" s="81" t="s">
        <v>86</v>
      </c>
      <c r="O28" s="82">
        <f>D28/VLOOKUP(F28,'Kursy walut'!C:E,3,0)</f>
        <v>36495</v>
      </c>
      <c r="P28" s="81" t="s">
        <v>85</v>
      </c>
      <c r="Q28" s="81" t="e">
        <f t="shared" si="1"/>
        <v>#VALUE!</v>
      </c>
    </row>
    <row r="29" spans="1:17" ht="15.75" customHeight="1" x14ac:dyDescent="0.15">
      <c r="A29" s="73" t="s">
        <v>581</v>
      </c>
      <c r="B29" s="74" t="s">
        <v>582</v>
      </c>
      <c r="C29" s="83" t="s">
        <v>583</v>
      </c>
      <c r="D29" s="83" t="s">
        <v>584</v>
      </c>
      <c r="E29" s="83" t="s">
        <v>585</v>
      </c>
      <c r="F29" s="83" t="s">
        <v>274</v>
      </c>
      <c r="G29" s="76" t="s">
        <v>274</v>
      </c>
      <c r="H29" s="77"/>
      <c r="I29" s="73" t="s">
        <v>581</v>
      </c>
      <c r="J29" s="74" t="s">
        <v>582</v>
      </c>
      <c r="K29" s="78" t="str">
        <f>IF(F29="USD",D29*VLOOKUP(L29,'Kursy walut'!C:E,2,0),IF(F29="EUR",D29*VLOOKUP(L29,'Kursy walut'!C:E,3,0),D29))</f>
        <v>114.00</v>
      </c>
      <c r="L29" s="79" t="s">
        <v>274</v>
      </c>
      <c r="M29" s="80" t="e">
        <f>D29/VLOOKUP(F29,'Kursy walut'!C:E,2,0)</f>
        <v>#VALUE!</v>
      </c>
      <c r="N29" s="81" t="s">
        <v>86</v>
      </c>
      <c r="O29" s="82" t="e">
        <f>D29/VLOOKUP(F29,'Kursy walut'!C:E,3,0)</f>
        <v>#VALUE!</v>
      </c>
      <c r="P29" s="81" t="s">
        <v>85</v>
      </c>
      <c r="Q29" s="81" t="e">
        <f t="shared" si="1"/>
        <v>#VALUE!</v>
      </c>
    </row>
    <row r="30" spans="1:17" ht="15.75" customHeight="1" x14ac:dyDescent="0.15">
      <c r="A30" s="73" t="s">
        <v>586</v>
      </c>
      <c r="B30" s="74" t="s">
        <v>587</v>
      </c>
      <c r="C30" s="95" t="s">
        <v>522</v>
      </c>
      <c r="D30" s="83" t="s">
        <v>532</v>
      </c>
      <c r="E30" s="83" t="s">
        <v>543</v>
      </c>
      <c r="F30" s="83" t="s">
        <v>86</v>
      </c>
      <c r="G30" s="76" t="s">
        <v>277</v>
      </c>
      <c r="H30" s="77"/>
      <c r="I30" s="73" t="s">
        <v>586</v>
      </c>
      <c r="J30" s="74" t="s">
        <v>587</v>
      </c>
      <c r="K30" s="78">
        <f>IF(F30="USD",D30*VLOOKUP(L30,'Kursy walut'!C:E,2,0),IF(F30="EUR",D30*VLOOKUP(L30,'Kursy walut'!C:E,3,0),D30))</f>
        <v>1955696.9652</v>
      </c>
      <c r="L30" s="85" t="s">
        <v>277</v>
      </c>
      <c r="M30" s="80">
        <f>D30/VLOOKUP(F30,'Kursy walut'!C:E,2,0)</f>
        <v>36434</v>
      </c>
      <c r="N30" s="81" t="s">
        <v>86</v>
      </c>
      <c r="O30" s="82">
        <f>D30/VLOOKUP(F30,'Kursy walut'!C:E,3,0)</f>
        <v>37245.961970967081</v>
      </c>
      <c r="P30" s="81" t="s">
        <v>85</v>
      </c>
      <c r="Q30" s="81" t="e">
        <f t="shared" si="1"/>
        <v>#VALUE!</v>
      </c>
    </row>
    <row r="31" spans="1:17" ht="15.75" customHeight="1" x14ac:dyDescent="0.15">
      <c r="A31" s="73" t="s">
        <v>588</v>
      </c>
      <c r="B31" s="74" t="s">
        <v>589</v>
      </c>
      <c r="C31" s="75" t="s">
        <v>522</v>
      </c>
      <c r="D31" s="75" t="s">
        <v>523</v>
      </c>
      <c r="E31" s="75" t="s">
        <v>524</v>
      </c>
      <c r="F31" s="75" t="s">
        <v>86</v>
      </c>
      <c r="G31" s="76" t="s">
        <v>280</v>
      </c>
      <c r="H31" s="77"/>
      <c r="I31" s="73" t="s">
        <v>588</v>
      </c>
      <c r="J31" s="74" t="s">
        <v>589</v>
      </c>
      <c r="K31" s="78">
        <f>IF(F31="USD",D31*VLOOKUP(L31,'Kursy walut'!C:E,2,0),IF(F31="EUR",D31*VLOOKUP(L31,'Kursy walut'!C:E,3,0),D31))</f>
        <v>5113535.1851999993</v>
      </c>
      <c r="L31" s="85" t="s">
        <v>280</v>
      </c>
      <c r="M31" s="80">
        <f>D31/VLOOKUP(F31,'Kursy walut'!C:E,2,0)</f>
        <v>36404</v>
      </c>
      <c r="N31" s="81" t="s">
        <v>86</v>
      </c>
      <c r="O31" s="82">
        <f>D31/VLOOKUP(F31,'Kursy walut'!C:E,3,0)</f>
        <v>37215.293396033536</v>
      </c>
      <c r="P31" s="81" t="s">
        <v>85</v>
      </c>
      <c r="Q31" s="81" t="e">
        <f t="shared" si="1"/>
        <v>#VALUE!</v>
      </c>
    </row>
    <row r="32" spans="1:17" ht="15.75" customHeight="1" x14ac:dyDescent="0.15">
      <c r="A32" s="73" t="s">
        <v>590</v>
      </c>
      <c r="B32" s="74" t="s">
        <v>591</v>
      </c>
      <c r="C32" s="95" t="s">
        <v>522</v>
      </c>
      <c r="D32" s="83" t="s">
        <v>532</v>
      </c>
      <c r="E32" s="83" t="s">
        <v>543</v>
      </c>
      <c r="F32" s="83" t="s">
        <v>86</v>
      </c>
      <c r="G32" s="76" t="s">
        <v>86</v>
      </c>
      <c r="H32" s="77"/>
      <c r="I32" s="73" t="s">
        <v>590</v>
      </c>
      <c r="J32" s="74" t="s">
        <v>591</v>
      </c>
      <c r="K32" s="78">
        <f>IF(F32="USD",D32*VLOOKUP(L32,'Kursy walut'!C:E,2,0),IF(F32="EUR",D32*VLOOKUP(L32,'Kursy walut'!C:E,3,0),D32))</f>
        <v>36434</v>
      </c>
      <c r="L32" s="85" t="s">
        <v>86</v>
      </c>
      <c r="M32" s="80">
        <f>D32/VLOOKUP(F32,'Kursy walut'!C:E,2,0)</f>
        <v>36434</v>
      </c>
      <c r="N32" s="81" t="s">
        <v>86</v>
      </c>
      <c r="O32" s="82">
        <f>D32/VLOOKUP(F32,'Kursy walut'!C:E,3,0)</f>
        <v>37245.961970967081</v>
      </c>
      <c r="P32" s="81" t="s">
        <v>85</v>
      </c>
      <c r="Q32" s="81" t="e">
        <f t="shared" si="1"/>
        <v>#VALUE!</v>
      </c>
    </row>
    <row r="33" spans="1:17" ht="15.75" customHeight="1" x14ac:dyDescent="0.15">
      <c r="A33" s="73" t="s">
        <v>42</v>
      </c>
      <c r="B33" s="74" t="s">
        <v>113</v>
      </c>
      <c r="C33" s="83" t="s">
        <v>526</v>
      </c>
      <c r="D33" s="83" t="s">
        <v>523</v>
      </c>
      <c r="E33" s="83" t="s">
        <v>527</v>
      </c>
      <c r="F33" s="75" t="s">
        <v>85</v>
      </c>
      <c r="G33" s="76" t="s">
        <v>85</v>
      </c>
      <c r="H33" s="77"/>
      <c r="I33" s="73" t="s">
        <v>42</v>
      </c>
      <c r="J33" s="74" t="s">
        <v>113</v>
      </c>
      <c r="K33" s="78">
        <f>IF(F33="USD",D33*VLOOKUP(L33,'Kursy walut'!C:E,2,0),IF(F33="EUR",D33*VLOOKUP(L33,'Kursy walut'!C:E,3,0),D33))</f>
        <v>36404</v>
      </c>
      <c r="L33" s="79" t="s">
        <v>85</v>
      </c>
      <c r="M33" s="80">
        <f>D33/VLOOKUP(F33,'Kursy walut'!C:E,2,0)</f>
        <v>35609.899246796442</v>
      </c>
      <c r="N33" s="81" t="s">
        <v>86</v>
      </c>
      <c r="O33" s="82">
        <f>D33/VLOOKUP(F33,'Kursy walut'!C:E,3,0)</f>
        <v>36404</v>
      </c>
      <c r="P33" s="81" t="s">
        <v>85</v>
      </c>
      <c r="Q33" s="81" t="e">
        <f t="shared" si="1"/>
        <v>#VALUE!</v>
      </c>
    </row>
    <row r="34" spans="1:17" ht="15.75" customHeight="1" x14ac:dyDescent="0.15">
      <c r="A34" s="73" t="s">
        <v>71</v>
      </c>
      <c r="B34" s="74" t="s">
        <v>111</v>
      </c>
      <c r="C34" s="83" t="s">
        <v>592</v>
      </c>
      <c r="D34" s="83" t="s">
        <v>593</v>
      </c>
      <c r="E34" s="83" t="s">
        <v>594</v>
      </c>
      <c r="F34" s="83" t="s">
        <v>112</v>
      </c>
      <c r="G34" s="76" t="s">
        <v>112</v>
      </c>
      <c r="H34" s="77"/>
      <c r="I34" s="73" t="s">
        <v>71</v>
      </c>
      <c r="J34" s="74" t="s">
        <v>111</v>
      </c>
      <c r="K34" s="78" t="str">
        <f>IF(F34="USD",D34*VLOOKUP(L34,'Kursy walut'!C:E,2,0),IF(F34="EUR",D34*VLOOKUP(L34,'Kursy walut'!C:E,3,0),D34))</f>
        <v>165.00</v>
      </c>
      <c r="L34" s="79" t="s">
        <v>112</v>
      </c>
      <c r="M34" s="80" t="e">
        <f>D34/VLOOKUP(F34,'Kursy walut'!C:E,2,0)</f>
        <v>#VALUE!</v>
      </c>
      <c r="N34" s="81" t="s">
        <v>86</v>
      </c>
      <c r="O34" s="82" t="e">
        <f>D34/VLOOKUP(F34,'Kursy walut'!C:E,3,0)</f>
        <v>#VALUE!</v>
      </c>
      <c r="P34" s="81" t="s">
        <v>85</v>
      </c>
      <c r="Q34" s="81" t="e">
        <f t="shared" si="1"/>
        <v>#VALUE!</v>
      </c>
    </row>
    <row r="35" spans="1:17" ht="15.75" customHeight="1" x14ac:dyDescent="0.15">
      <c r="A35" s="73" t="s">
        <v>33</v>
      </c>
      <c r="B35" s="74" t="s">
        <v>174</v>
      </c>
      <c r="C35" s="83" t="s">
        <v>526</v>
      </c>
      <c r="D35" s="83" t="s">
        <v>514</v>
      </c>
      <c r="E35" s="83" t="s">
        <v>580</v>
      </c>
      <c r="F35" s="75" t="s">
        <v>85</v>
      </c>
      <c r="G35" s="76" t="s">
        <v>85</v>
      </c>
      <c r="H35" s="77"/>
      <c r="I35" s="73" t="s">
        <v>33</v>
      </c>
      <c r="J35" s="74" t="s">
        <v>174</v>
      </c>
      <c r="K35" s="78">
        <f>IF(F35="USD",D35*VLOOKUP(L35,'Kursy walut'!C:E,2,0),IF(F35="EUR",D35*VLOOKUP(L35,'Kursy walut'!C:E,3,0),D35))</f>
        <v>36495</v>
      </c>
      <c r="L35" s="79" t="s">
        <v>85</v>
      </c>
      <c r="M35" s="80">
        <f>D35/VLOOKUP(F35,'Kursy walut'!C:E,2,0)</f>
        <v>35698.914213049007</v>
      </c>
      <c r="N35" s="81" t="s">
        <v>86</v>
      </c>
      <c r="O35" s="82">
        <f>D35/VLOOKUP(F35,'Kursy walut'!C:E,3,0)</f>
        <v>36495</v>
      </c>
      <c r="P35" s="81" t="s">
        <v>85</v>
      </c>
      <c r="Q35" s="81" t="e">
        <f t="shared" si="1"/>
        <v>#VALUE!</v>
      </c>
    </row>
    <row r="36" spans="1:17" ht="15.75" customHeight="1" x14ac:dyDescent="0.15">
      <c r="A36" s="73" t="s">
        <v>32</v>
      </c>
      <c r="B36" s="74" t="s">
        <v>114</v>
      </c>
      <c r="C36" s="95" t="s">
        <v>526</v>
      </c>
      <c r="D36" s="83" t="s">
        <v>595</v>
      </c>
      <c r="E36" s="83" t="s">
        <v>596</v>
      </c>
      <c r="F36" s="75" t="s">
        <v>85</v>
      </c>
      <c r="G36" s="76" t="s">
        <v>85</v>
      </c>
      <c r="H36" s="77"/>
      <c r="I36" s="73" t="s">
        <v>32</v>
      </c>
      <c r="J36" s="74" t="s">
        <v>114</v>
      </c>
      <c r="K36" s="78">
        <f>IF(F36="USD",D36*VLOOKUP(L36,'Kursy walut'!C:E,2,0),IF(F36="EUR",D36*VLOOKUP(L36,'Kursy walut'!C:E,3,0),D36))</f>
        <v>36465</v>
      </c>
      <c r="L36" s="79" t="s">
        <v>85</v>
      </c>
      <c r="M36" s="80">
        <f>D36/VLOOKUP(F36,'Kursy walut'!C:E,2,0)</f>
        <v>35669.568619778933</v>
      </c>
      <c r="N36" s="81" t="s">
        <v>86</v>
      </c>
      <c r="O36" s="82">
        <f>D36/VLOOKUP(F36,'Kursy walut'!C:E,3,0)</f>
        <v>36465</v>
      </c>
      <c r="P36" s="81" t="s">
        <v>85</v>
      </c>
      <c r="Q36" s="81" t="e">
        <f t="shared" si="1"/>
        <v>#VALUE!</v>
      </c>
    </row>
    <row r="37" spans="1:17" ht="15.75" customHeight="1" x14ac:dyDescent="0.15">
      <c r="A37" s="73" t="s">
        <v>31</v>
      </c>
      <c r="B37" s="74" t="s">
        <v>115</v>
      </c>
      <c r="C37" s="83" t="s">
        <v>597</v>
      </c>
      <c r="D37" s="83" t="s">
        <v>540</v>
      </c>
      <c r="E37" s="83" t="s">
        <v>580</v>
      </c>
      <c r="F37" s="75" t="s">
        <v>85</v>
      </c>
      <c r="G37" s="76" t="s">
        <v>85</v>
      </c>
      <c r="H37" s="77"/>
      <c r="I37" s="73" t="s">
        <v>31</v>
      </c>
      <c r="J37" s="74" t="s">
        <v>115</v>
      </c>
      <c r="K37" s="78" t="e">
        <f>IF(F37="USD",D37*VLOOKUP(L37,'Kursy walut'!C:E,2,0),IF(F37="EUR",D37*VLOOKUP(L37,'Kursy walut'!C:E,3,0),D37))</f>
        <v>#VALUE!</v>
      </c>
      <c r="L37" s="79" t="s">
        <v>85</v>
      </c>
      <c r="M37" s="80" t="e">
        <f>D37/VLOOKUP(F37,'Kursy walut'!C:E,2,0)</f>
        <v>#VALUE!</v>
      </c>
      <c r="N37" s="81" t="s">
        <v>86</v>
      </c>
      <c r="O37" s="82" t="e">
        <f>D37/VLOOKUP(F37,'Kursy walut'!C:E,3,0)</f>
        <v>#VALUE!</v>
      </c>
      <c r="P37" s="81" t="s">
        <v>85</v>
      </c>
      <c r="Q37" s="81" t="e">
        <f t="shared" si="1"/>
        <v>#VALUE!</v>
      </c>
    </row>
    <row r="38" spans="1:17" ht="15.75" customHeight="1" x14ac:dyDescent="0.15">
      <c r="A38" s="73" t="s">
        <v>598</v>
      </c>
      <c r="B38" s="74" t="s">
        <v>599</v>
      </c>
      <c r="C38" s="83" t="s">
        <v>600</v>
      </c>
      <c r="D38" s="83" t="s">
        <v>601</v>
      </c>
      <c r="E38" s="83" t="s">
        <v>576</v>
      </c>
      <c r="F38" s="83" t="s">
        <v>85</v>
      </c>
      <c r="G38" s="76" t="s">
        <v>294</v>
      </c>
      <c r="H38" s="77"/>
      <c r="I38" s="73" t="s">
        <v>598</v>
      </c>
      <c r="J38" s="74" t="s">
        <v>599</v>
      </c>
      <c r="K38" s="78">
        <f>IF(F38="USD",D38*VLOOKUP(L38,'Kursy walut'!C:E,2,0),IF(F38="EUR",D38*VLOOKUP(L38,'Kursy walut'!C:E,3,0),D38))</f>
        <v>79749.684000000008</v>
      </c>
      <c r="L38" s="85" t="s">
        <v>294</v>
      </c>
      <c r="M38" s="80">
        <f>D38/VLOOKUP(F38,'Kursy walut'!C:E,2,0)</f>
        <v>28523.916658515114</v>
      </c>
      <c r="N38" s="81" t="s">
        <v>86</v>
      </c>
      <c r="O38" s="82">
        <f>D38/VLOOKUP(F38,'Kursy walut'!C:E,3,0)</f>
        <v>29160</v>
      </c>
      <c r="P38" s="81" t="s">
        <v>85</v>
      </c>
      <c r="Q38" s="81" t="e">
        <f t="shared" si="1"/>
        <v>#VALUE!</v>
      </c>
    </row>
    <row r="39" spans="1:17" ht="15.75" customHeight="1" x14ac:dyDescent="0.15">
      <c r="A39" s="73" t="s">
        <v>602</v>
      </c>
      <c r="B39" s="74" t="s">
        <v>296</v>
      </c>
      <c r="C39" s="83" t="s">
        <v>522</v>
      </c>
      <c r="D39" s="83" t="s">
        <v>523</v>
      </c>
      <c r="E39" s="83" t="s">
        <v>524</v>
      </c>
      <c r="F39" s="83" t="s">
        <v>86</v>
      </c>
      <c r="G39" s="76" t="s">
        <v>297</v>
      </c>
      <c r="H39" s="77"/>
      <c r="I39" s="73" t="s">
        <v>602</v>
      </c>
      <c r="J39" s="74" t="s">
        <v>296</v>
      </c>
      <c r="K39" s="78">
        <f>IF(F39="USD",D39*VLOOKUP(L39,'Kursy walut'!C:E,2,0),IF(F39="EUR",D39*VLOOKUP(L39,'Kursy walut'!C:E,3,0),D39))</f>
        <v>385907.88280000002</v>
      </c>
      <c r="L39" s="85" t="s">
        <v>297</v>
      </c>
      <c r="M39" s="80">
        <f>D39/VLOOKUP(F39,'Kursy walut'!C:E,2,0)</f>
        <v>36404</v>
      </c>
      <c r="N39" s="81" t="s">
        <v>86</v>
      </c>
      <c r="O39" s="82">
        <f>D39/VLOOKUP(F39,'Kursy walut'!C:E,3,0)</f>
        <v>37215.293396033536</v>
      </c>
      <c r="P39" s="81" t="s">
        <v>85</v>
      </c>
      <c r="Q39" s="81" t="e">
        <f t="shared" si="1"/>
        <v>#VALUE!</v>
      </c>
    </row>
    <row r="40" spans="1:17" ht="15.75" customHeight="1" x14ac:dyDescent="0.15">
      <c r="A40" s="73" t="s">
        <v>40</v>
      </c>
      <c r="B40" s="74" t="s">
        <v>117</v>
      </c>
      <c r="C40" s="83" t="s">
        <v>526</v>
      </c>
      <c r="D40" s="83" t="s">
        <v>532</v>
      </c>
      <c r="E40" s="83" t="s">
        <v>576</v>
      </c>
      <c r="F40" s="75" t="s">
        <v>85</v>
      </c>
      <c r="G40" s="76" t="s">
        <v>85</v>
      </c>
      <c r="H40" s="77"/>
      <c r="I40" s="73" t="s">
        <v>40</v>
      </c>
      <c r="J40" s="74" t="s">
        <v>117</v>
      </c>
      <c r="K40" s="78">
        <f>IF(F40="USD",D40*VLOOKUP(L40,'Kursy walut'!C:E,2,0),IF(F40="EUR",D40*VLOOKUP(L40,'Kursy walut'!C:E,3,0),D40))</f>
        <v>36434</v>
      </c>
      <c r="L40" s="79" t="s">
        <v>85</v>
      </c>
      <c r="M40" s="80">
        <f>D40/VLOOKUP(F40,'Kursy walut'!C:E,2,0)</f>
        <v>35639.244840066516</v>
      </c>
      <c r="N40" s="81" t="s">
        <v>86</v>
      </c>
      <c r="O40" s="82">
        <f>D40/VLOOKUP(F40,'Kursy walut'!C:E,3,0)</f>
        <v>36434</v>
      </c>
      <c r="P40" s="81" t="s">
        <v>85</v>
      </c>
      <c r="Q40" s="81" t="e">
        <f t="shared" si="1"/>
        <v>#VALUE!</v>
      </c>
    </row>
    <row r="41" spans="1:17" ht="13" x14ac:dyDescent="0.15">
      <c r="A41" s="73" t="s">
        <v>603</v>
      </c>
      <c r="B41" s="74" t="s">
        <v>604</v>
      </c>
      <c r="C41" s="83" t="s">
        <v>522</v>
      </c>
      <c r="D41" s="83" t="s">
        <v>532</v>
      </c>
      <c r="E41" s="83" t="s">
        <v>543</v>
      </c>
      <c r="F41" s="83" t="s">
        <v>86</v>
      </c>
      <c r="G41" s="76" t="s">
        <v>302</v>
      </c>
      <c r="H41" s="77"/>
      <c r="I41" s="73" t="s">
        <v>603</v>
      </c>
      <c r="J41" s="74" t="s">
        <v>604</v>
      </c>
      <c r="K41" s="78">
        <f>IF(F41="USD",D41*VLOOKUP(L41,'Kursy walut'!C:E,2,0),IF(F41="EUR",D41*VLOOKUP(L41,'Kursy walut'!C:E,3,0),D41))</f>
        <v>287642.78659999999</v>
      </c>
      <c r="L41" s="85" t="s">
        <v>302</v>
      </c>
      <c r="M41" s="80">
        <f>D41/VLOOKUP(F41,'Kursy walut'!C:E,2,0)</f>
        <v>36434</v>
      </c>
      <c r="N41" s="81" t="s">
        <v>86</v>
      </c>
      <c r="O41" s="82">
        <f>D41/VLOOKUP(F41,'Kursy walut'!C:E,3,0)</f>
        <v>37245.961970967081</v>
      </c>
      <c r="P41" s="81" t="s">
        <v>85</v>
      </c>
      <c r="Q41" s="81" t="e">
        <f t="shared" si="1"/>
        <v>#VALUE!</v>
      </c>
    </row>
    <row r="42" spans="1:17" ht="13" x14ac:dyDescent="0.15">
      <c r="A42" s="73" t="s">
        <v>65</v>
      </c>
      <c r="B42" s="74" t="s">
        <v>118</v>
      </c>
      <c r="C42" s="83" t="s">
        <v>605</v>
      </c>
      <c r="D42" s="83" t="s">
        <v>606</v>
      </c>
      <c r="E42" s="83" t="s">
        <v>607</v>
      </c>
      <c r="F42" s="83" t="s">
        <v>119</v>
      </c>
      <c r="G42" s="76" t="s">
        <v>119</v>
      </c>
      <c r="H42" s="77"/>
      <c r="I42" s="73" t="s">
        <v>65</v>
      </c>
      <c r="J42" s="74" t="s">
        <v>118</v>
      </c>
      <c r="K42" s="78" t="str">
        <f>IF(F42="USD",D42*VLOOKUP(L42,'Kursy walut'!C:E,2,0),IF(F42="EUR",D42*VLOOKUP(L42,'Kursy walut'!C:E,3,0),D42))</f>
        <v>78.00</v>
      </c>
      <c r="L42" s="79" t="s">
        <v>119</v>
      </c>
      <c r="M42" s="80" t="e">
        <f>D42/VLOOKUP(F42,'Kursy walut'!C:E,2,0)</f>
        <v>#VALUE!</v>
      </c>
      <c r="N42" s="81" t="s">
        <v>86</v>
      </c>
      <c r="O42" s="82" t="e">
        <f>D42/VLOOKUP(F42,'Kursy walut'!C:E,3,0)</f>
        <v>#VALUE!</v>
      </c>
      <c r="P42" s="81" t="s">
        <v>85</v>
      </c>
      <c r="Q42" s="81" t="e">
        <f t="shared" si="1"/>
        <v>#VALUE!</v>
      </c>
    </row>
    <row r="43" spans="1:17" ht="13" x14ac:dyDescent="0.15">
      <c r="A43" s="73" t="s">
        <v>608</v>
      </c>
      <c r="B43" s="74" t="s">
        <v>306</v>
      </c>
      <c r="C43" s="83" t="s">
        <v>522</v>
      </c>
      <c r="D43" s="83" t="s">
        <v>532</v>
      </c>
      <c r="E43" s="83" t="s">
        <v>543</v>
      </c>
      <c r="F43" s="83" t="s">
        <v>86</v>
      </c>
      <c r="G43" s="76" t="s">
        <v>307</v>
      </c>
      <c r="H43" s="77"/>
      <c r="I43" s="73" t="s">
        <v>608</v>
      </c>
      <c r="J43" s="74" t="s">
        <v>306</v>
      </c>
      <c r="K43" s="78">
        <f>IF(F43="USD",D43*VLOOKUP(L43,'Kursy walut'!C:E,2,0),IF(F43="EUR",D43*VLOOKUP(L43,'Kursy walut'!C:E,3,0),D43))</f>
        <v>902553.97820000001</v>
      </c>
      <c r="L43" s="85" t="s">
        <v>307</v>
      </c>
      <c r="M43" s="80">
        <f>D43/VLOOKUP(F43,'Kursy walut'!C:E,2,0)</f>
        <v>36434</v>
      </c>
      <c r="N43" s="81" t="s">
        <v>86</v>
      </c>
      <c r="O43" s="82">
        <f>D43/VLOOKUP(F43,'Kursy walut'!C:E,3,0)</f>
        <v>37245.961970967081</v>
      </c>
      <c r="P43" s="81" t="s">
        <v>85</v>
      </c>
      <c r="Q43" s="81" t="e">
        <f t="shared" si="1"/>
        <v>#VALUE!</v>
      </c>
    </row>
    <row r="44" spans="1:17" ht="13" x14ac:dyDescent="0.15">
      <c r="A44" s="73" t="s">
        <v>46</v>
      </c>
      <c r="B44" s="74" t="s">
        <v>107</v>
      </c>
      <c r="C44" s="75" t="s">
        <v>526</v>
      </c>
      <c r="D44" s="75" t="s">
        <v>523</v>
      </c>
      <c r="E44" s="75" t="s">
        <v>527</v>
      </c>
      <c r="F44" s="75" t="s">
        <v>85</v>
      </c>
      <c r="G44" s="76" t="s">
        <v>108</v>
      </c>
      <c r="H44" s="77"/>
      <c r="I44" s="73" t="s">
        <v>46</v>
      </c>
      <c r="J44" s="74" t="s">
        <v>107</v>
      </c>
      <c r="K44" s="78">
        <f>IF(F44="USD",D44*VLOOKUP(L44,'Kursy walut'!C:E,2,0),IF(F44="EUR",D44*VLOOKUP(L44,'Kursy walut'!C:E,3,0),D44))</f>
        <v>276200.78840000002</v>
      </c>
      <c r="L44" s="85" t="s">
        <v>108</v>
      </c>
      <c r="M44" s="80">
        <f>D44/VLOOKUP(F44,'Kursy walut'!C:E,2,0)</f>
        <v>35609.899246796442</v>
      </c>
      <c r="N44" s="81" t="s">
        <v>86</v>
      </c>
      <c r="O44" s="82">
        <f>D44/VLOOKUP(F44,'Kursy walut'!C:E,3,0)</f>
        <v>36404</v>
      </c>
      <c r="P44" s="81" t="s">
        <v>85</v>
      </c>
      <c r="Q44" s="81" t="e">
        <f t="shared" si="1"/>
        <v>#VALUE!</v>
      </c>
    </row>
    <row r="45" spans="1:17" ht="13" x14ac:dyDescent="0.15">
      <c r="A45" s="73" t="s">
        <v>72</v>
      </c>
      <c r="B45" s="74" t="s">
        <v>120</v>
      </c>
      <c r="C45" s="83" t="s">
        <v>609</v>
      </c>
      <c r="D45" s="83" t="s">
        <v>610</v>
      </c>
      <c r="E45" s="83" t="s">
        <v>611</v>
      </c>
      <c r="F45" s="83" t="s">
        <v>121</v>
      </c>
      <c r="G45" s="76" t="s">
        <v>121</v>
      </c>
      <c r="H45" s="77"/>
      <c r="I45" s="73" t="s">
        <v>72</v>
      </c>
      <c r="J45" s="74" t="s">
        <v>120</v>
      </c>
      <c r="K45" s="78" t="str">
        <f>IF(F45="USD",D45*VLOOKUP(L45,'Kursy walut'!C:E,2,0),IF(F45="EUR",D45*VLOOKUP(L45,'Kursy walut'!C:E,3,0),D45))</f>
        <v>3,490.00</v>
      </c>
      <c r="L45" s="79" t="s">
        <v>121</v>
      </c>
      <c r="M45" s="80" t="e">
        <f>D45/VLOOKUP(F45,'Kursy walut'!C:E,2,0)</f>
        <v>#VALUE!</v>
      </c>
      <c r="N45" s="81" t="s">
        <v>86</v>
      </c>
      <c r="O45" s="82" t="e">
        <f>D45/VLOOKUP(F45,'Kursy walut'!C:E,3,0)</f>
        <v>#VALUE!</v>
      </c>
      <c r="P45" s="81" t="s">
        <v>85</v>
      </c>
      <c r="Q45" s="81" t="e">
        <f t="shared" si="1"/>
        <v>#VALUE!</v>
      </c>
    </row>
    <row r="46" spans="1:17" ht="13" x14ac:dyDescent="0.15">
      <c r="A46" s="73" t="s">
        <v>76</v>
      </c>
      <c r="B46" s="74" t="s">
        <v>124</v>
      </c>
      <c r="C46" s="83" t="s">
        <v>612</v>
      </c>
      <c r="D46" s="83" t="s">
        <v>613</v>
      </c>
      <c r="E46" s="83" t="s">
        <v>614</v>
      </c>
      <c r="F46" s="83" t="s">
        <v>125</v>
      </c>
      <c r="G46" s="76" t="s">
        <v>125</v>
      </c>
      <c r="H46" s="77"/>
      <c r="I46" s="73" t="s">
        <v>76</v>
      </c>
      <c r="J46" s="74" t="s">
        <v>124</v>
      </c>
      <c r="K46" s="78" t="str">
        <f>IF(F46="USD",D46*VLOOKUP(L46,'Kursy walut'!C:E,2,0),IF(F46="EUR",D46*VLOOKUP(L46,'Kursy walut'!C:E,3,0),D46))</f>
        <v>153,000.00</v>
      </c>
      <c r="L46" s="79" t="s">
        <v>125</v>
      </c>
      <c r="M46" s="80" t="e">
        <f>D46/VLOOKUP(F46,'Kursy walut'!C:E,2,0)</f>
        <v>#VALUE!</v>
      </c>
      <c r="N46" s="81" t="s">
        <v>86</v>
      </c>
      <c r="O46" s="82" t="e">
        <f>D46/VLOOKUP(F46,'Kursy walut'!C:E,3,0)</f>
        <v>#VALUE!</v>
      </c>
      <c r="P46" s="81" t="s">
        <v>85</v>
      </c>
      <c r="Q46" s="81" t="e">
        <f t="shared" si="1"/>
        <v>#VALUE!</v>
      </c>
    </row>
    <row r="47" spans="1:17" ht="13" x14ac:dyDescent="0.15">
      <c r="A47" s="73" t="s">
        <v>30</v>
      </c>
      <c r="B47" s="74" t="s">
        <v>126</v>
      </c>
      <c r="C47" s="83" t="s">
        <v>597</v>
      </c>
      <c r="D47" s="83" t="s">
        <v>615</v>
      </c>
      <c r="E47" s="83" t="s">
        <v>616</v>
      </c>
      <c r="F47" s="75" t="s">
        <v>85</v>
      </c>
      <c r="G47" s="76" t="s">
        <v>85</v>
      </c>
      <c r="H47" s="77"/>
      <c r="I47" s="73" t="s">
        <v>30</v>
      </c>
      <c r="J47" s="74" t="s">
        <v>126</v>
      </c>
      <c r="K47" s="78" t="e">
        <f>IF(F47="USD",D47*VLOOKUP(L47,'Kursy walut'!C:E,2,0),IF(F47="EUR",D47*VLOOKUP(L47,'Kursy walut'!C:E,3,0),D47))</f>
        <v>#VALUE!</v>
      </c>
      <c r="L47" s="79" t="s">
        <v>85</v>
      </c>
      <c r="M47" s="80" t="e">
        <f>D47/VLOOKUP(F47,'Kursy walut'!C:E,2,0)</f>
        <v>#VALUE!</v>
      </c>
      <c r="N47" s="81" t="s">
        <v>86</v>
      </c>
      <c r="O47" s="82" t="e">
        <f>D47/VLOOKUP(F47,'Kursy walut'!C:E,3,0)</f>
        <v>#VALUE!</v>
      </c>
      <c r="P47" s="81" t="s">
        <v>85</v>
      </c>
      <c r="Q47" s="81" t="e">
        <f t="shared" si="1"/>
        <v>#VALUE!</v>
      </c>
    </row>
    <row r="48" spans="1:17" ht="13" x14ac:dyDescent="0.15">
      <c r="A48" s="73" t="s">
        <v>38</v>
      </c>
      <c r="B48" s="74" t="s">
        <v>127</v>
      </c>
      <c r="C48" s="83" t="s">
        <v>617</v>
      </c>
      <c r="D48" s="83" t="s">
        <v>618</v>
      </c>
      <c r="E48" s="83" t="s">
        <v>619</v>
      </c>
      <c r="F48" s="83" t="s">
        <v>128</v>
      </c>
      <c r="G48" s="76" t="s">
        <v>128</v>
      </c>
      <c r="H48" s="77"/>
      <c r="I48" s="73" t="s">
        <v>38</v>
      </c>
      <c r="J48" s="74" t="s">
        <v>127</v>
      </c>
      <c r="K48" s="78" t="str">
        <f>IF(F48="USD",D48*VLOOKUP(L48,'Kursy walut'!C:E,2,0),IF(F48="EUR",D48*VLOOKUP(L48,'Kursy walut'!C:E,3,0),D48))</f>
        <v>54.90</v>
      </c>
      <c r="L48" s="79" t="s">
        <v>128</v>
      </c>
      <c r="M48" s="80" t="e">
        <f>D48/VLOOKUP(F48,'Kursy walut'!C:E,2,0)</f>
        <v>#VALUE!</v>
      </c>
      <c r="N48" s="81" t="s">
        <v>86</v>
      </c>
      <c r="O48" s="82" t="e">
        <f>D48/VLOOKUP(F48,'Kursy walut'!C:E,3,0)</f>
        <v>#VALUE!</v>
      </c>
      <c r="P48" s="81" t="s">
        <v>85</v>
      </c>
      <c r="Q48" s="81" t="e">
        <f t="shared" si="1"/>
        <v>#VALUE!</v>
      </c>
    </row>
    <row r="49" spans="1:17" ht="13" x14ac:dyDescent="0.15">
      <c r="A49" s="73" t="s">
        <v>82</v>
      </c>
      <c r="B49" s="74" t="s">
        <v>122</v>
      </c>
      <c r="C49" s="83" t="s">
        <v>620</v>
      </c>
      <c r="D49" s="83" t="s">
        <v>621</v>
      </c>
      <c r="E49" s="83" t="s">
        <v>622</v>
      </c>
      <c r="F49" s="83" t="s">
        <v>123</v>
      </c>
      <c r="G49" s="76" t="s">
        <v>123</v>
      </c>
      <c r="H49" s="77"/>
      <c r="I49" s="73" t="s">
        <v>82</v>
      </c>
      <c r="J49" s="74" t="s">
        <v>122</v>
      </c>
      <c r="K49" s="78" t="str">
        <f>IF(F49="USD",D49*VLOOKUP(L49,'Kursy walut'!C:E,2,0),IF(F49="EUR",D49*VLOOKUP(L49,'Kursy walut'!C:E,3,0),D49))</f>
        <v>499.00</v>
      </c>
      <c r="L49" s="79" t="s">
        <v>123</v>
      </c>
      <c r="M49" s="80" t="e">
        <f>D49/VLOOKUP(F49,'Kursy walut'!C:E,2,0)</f>
        <v>#VALUE!</v>
      </c>
      <c r="N49" s="81" t="s">
        <v>86</v>
      </c>
      <c r="O49" s="82" t="e">
        <f>D49/VLOOKUP(F49,'Kursy walut'!C:E,3,0)</f>
        <v>#VALUE!</v>
      </c>
      <c r="P49" s="81" t="s">
        <v>85</v>
      </c>
      <c r="Q49" s="81" t="e">
        <f t="shared" si="1"/>
        <v>#VALUE!</v>
      </c>
    </row>
    <row r="50" spans="1:17" ht="13" x14ac:dyDescent="0.15">
      <c r="A50" s="73" t="s">
        <v>623</v>
      </c>
      <c r="B50" s="74" t="s">
        <v>624</v>
      </c>
      <c r="C50" s="83" t="s">
        <v>522</v>
      </c>
      <c r="D50" s="83" t="s">
        <v>523</v>
      </c>
      <c r="E50" s="83" t="s">
        <v>524</v>
      </c>
      <c r="F50" s="83" t="s">
        <v>86</v>
      </c>
      <c r="G50" s="76" t="s">
        <v>322</v>
      </c>
      <c r="H50" s="77"/>
      <c r="I50" s="73" t="s">
        <v>623</v>
      </c>
      <c r="J50" s="74" t="s">
        <v>624</v>
      </c>
      <c r="K50" s="78">
        <f>IF(F50="USD",D50*VLOOKUP(L50,'Kursy walut'!C:E,2,0),IF(F50="EUR",D50*VLOOKUP(L50,'Kursy walut'!C:E,3,0),D50))</f>
        <v>53205326.976800002</v>
      </c>
      <c r="L50" s="85" t="s">
        <v>322</v>
      </c>
      <c r="M50" s="80">
        <f>D50/VLOOKUP(F50,'Kursy walut'!C:E,2,0)</f>
        <v>36404</v>
      </c>
      <c r="N50" s="81" t="s">
        <v>86</v>
      </c>
      <c r="O50" s="82">
        <f>D50/VLOOKUP(F50,'Kursy walut'!C:E,3,0)</f>
        <v>37215.293396033536</v>
      </c>
      <c r="P50" s="81" t="s">
        <v>85</v>
      </c>
      <c r="Q50" s="81" t="e">
        <f t="shared" si="1"/>
        <v>#VALUE!</v>
      </c>
    </row>
    <row r="51" spans="1:17" ht="13" x14ac:dyDescent="0.15">
      <c r="A51" s="73" t="s">
        <v>625</v>
      </c>
      <c r="B51" s="74" t="s">
        <v>324</v>
      </c>
      <c r="C51" s="83" t="s">
        <v>522</v>
      </c>
      <c r="D51" s="83" t="s">
        <v>523</v>
      </c>
      <c r="E51" s="83" t="s">
        <v>524</v>
      </c>
      <c r="F51" s="83" t="s">
        <v>86</v>
      </c>
      <c r="G51" s="76" t="s">
        <v>325</v>
      </c>
      <c r="H51" s="77"/>
      <c r="I51" s="73" t="s">
        <v>625</v>
      </c>
      <c r="J51" s="74" t="s">
        <v>324</v>
      </c>
      <c r="K51" s="78">
        <f>IF(F51="USD",D51*VLOOKUP(L51,'Kursy walut'!C:E,2,0),IF(F51="EUR",D51*VLOOKUP(L51,'Kursy walut'!C:E,3,0),D51))</f>
        <v>1540859974.5468001</v>
      </c>
      <c r="L51" s="85" t="s">
        <v>325</v>
      </c>
      <c r="M51" s="80">
        <f>D51/VLOOKUP(F51,'Kursy walut'!C:E,2,0)</f>
        <v>36404</v>
      </c>
      <c r="N51" s="81" t="s">
        <v>86</v>
      </c>
      <c r="O51" s="82">
        <f>D51/VLOOKUP(F51,'Kursy walut'!C:E,3,0)</f>
        <v>37215.293396033536</v>
      </c>
      <c r="P51" s="81" t="s">
        <v>85</v>
      </c>
      <c r="Q51" s="81" t="e">
        <f t="shared" si="1"/>
        <v>#VALUE!</v>
      </c>
    </row>
    <row r="52" spans="1:17" ht="13" x14ac:dyDescent="0.15">
      <c r="A52" s="73" t="s">
        <v>626</v>
      </c>
      <c r="B52" s="74" t="s">
        <v>627</v>
      </c>
      <c r="C52" s="95" t="s">
        <v>526</v>
      </c>
      <c r="D52" s="83" t="s">
        <v>514</v>
      </c>
      <c r="E52" s="83" t="s">
        <v>580</v>
      </c>
      <c r="F52" s="83" t="s">
        <v>85</v>
      </c>
      <c r="G52" s="76" t="s">
        <v>328</v>
      </c>
      <c r="H52" s="77"/>
      <c r="I52" s="73" t="s">
        <v>626</v>
      </c>
      <c r="J52" s="74" t="s">
        <v>627</v>
      </c>
      <c r="K52" s="78">
        <f>IF(F52="USD",D52*VLOOKUP(L52,'Kursy walut'!C:E,2,0),IF(F52="EUR",D52*VLOOKUP(L52,'Kursy walut'!C:E,3,0),D52))</f>
        <v>5159907.6164999995</v>
      </c>
      <c r="L52" s="85" t="s">
        <v>328</v>
      </c>
      <c r="M52" s="80">
        <f>D52/VLOOKUP(F52,'Kursy walut'!C:E,2,0)</f>
        <v>35698.914213049007</v>
      </c>
      <c r="N52" s="81" t="s">
        <v>86</v>
      </c>
      <c r="O52" s="82">
        <f>D52/VLOOKUP(F52,'Kursy walut'!C:E,3,0)</f>
        <v>36495</v>
      </c>
      <c r="P52" s="81" t="s">
        <v>85</v>
      </c>
      <c r="Q52" s="81" t="e">
        <f t="shared" si="1"/>
        <v>#VALUE!</v>
      </c>
    </row>
    <row r="53" spans="1:17" ht="13" x14ac:dyDescent="0.15">
      <c r="A53" s="73" t="s">
        <v>34</v>
      </c>
      <c r="B53" s="74" t="s">
        <v>129</v>
      </c>
      <c r="C53" s="83" t="s">
        <v>526</v>
      </c>
      <c r="D53" s="83" t="s">
        <v>514</v>
      </c>
      <c r="E53" s="83" t="s">
        <v>580</v>
      </c>
      <c r="F53" s="75" t="s">
        <v>85</v>
      </c>
      <c r="G53" s="76" t="s">
        <v>85</v>
      </c>
      <c r="H53" s="77"/>
      <c r="I53" s="73" t="s">
        <v>34</v>
      </c>
      <c r="J53" s="74" t="s">
        <v>129</v>
      </c>
      <c r="K53" s="78">
        <f>IF(F53="USD",D53*VLOOKUP(L53,'Kursy walut'!C:E,2,0),IF(F53="EUR",D53*VLOOKUP(L53,'Kursy walut'!C:E,3,0),D53))</f>
        <v>36495</v>
      </c>
      <c r="L53" s="79" t="s">
        <v>85</v>
      </c>
      <c r="M53" s="80">
        <f>D53/VLOOKUP(F53,'Kursy walut'!C:E,2,0)</f>
        <v>35698.914213049007</v>
      </c>
      <c r="N53" s="81" t="s">
        <v>86</v>
      </c>
      <c r="O53" s="82">
        <f>D53/VLOOKUP(F53,'Kursy walut'!C:E,3,0)</f>
        <v>36495</v>
      </c>
      <c r="P53" s="81" t="s">
        <v>85</v>
      </c>
      <c r="Q53" s="81" t="e">
        <f t="shared" si="1"/>
        <v>#VALUE!</v>
      </c>
    </row>
    <row r="54" spans="1:17" ht="13" x14ac:dyDescent="0.15">
      <c r="A54" s="73" t="s">
        <v>628</v>
      </c>
      <c r="B54" s="74" t="s">
        <v>629</v>
      </c>
      <c r="C54" s="83" t="s">
        <v>522</v>
      </c>
      <c r="D54" s="83" t="s">
        <v>532</v>
      </c>
      <c r="E54" s="83" t="s">
        <v>543</v>
      </c>
      <c r="F54" s="83" t="s">
        <v>86</v>
      </c>
      <c r="G54" s="76" t="s">
        <v>333</v>
      </c>
      <c r="H54" s="77"/>
      <c r="I54" s="73" t="s">
        <v>628</v>
      </c>
      <c r="J54" s="74" t="s">
        <v>629</v>
      </c>
      <c r="K54" s="78">
        <f>IF(F54="USD",D54*VLOOKUP(L54,'Kursy walut'!C:E,2,0),IF(F54="EUR",D54*VLOOKUP(L54,'Kursy walut'!C:E,3,0),D54))</f>
        <v>5570405.1902000001</v>
      </c>
      <c r="L54" s="85" t="s">
        <v>333</v>
      </c>
      <c r="M54" s="80">
        <f>D54/VLOOKUP(F54,'Kursy walut'!C:E,2,0)</f>
        <v>36434</v>
      </c>
      <c r="N54" s="81" t="s">
        <v>86</v>
      </c>
      <c r="O54" s="82">
        <f>D54/VLOOKUP(F54,'Kursy walut'!C:E,3,0)</f>
        <v>37245.961970967081</v>
      </c>
      <c r="P54" s="81" t="s">
        <v>85</v>
      </c>
      <c r="Q54" s="81" t="e">
        <f t="shared" si="1"/>
        <v>#VALUE!</v>
      </c>
    </row>
    <row r="55" spans="1:17" ht="13" x14ac:dyDescent="0.15">
      <c r="A55" s="73" t="s">
        <v>630</v>
      </c>
      <c r="B55" s="74" t="s">
        <v>631</v>
      </c>
      <c r="C55" s="83" t="s">
        <v>522</v>
      </c>
      <c r="D55" s="83" t="s">
        <v>523</v>
      </c>
      <c r="E55" s="83" t="s">
        <v>524</v>
      </c>
      <c r="F55" s="83" t="s">
        <v>86</v>
      </c>
      <c r="G55" s="76" t="s">
        <v>336</v>
      </c>
      <c r="H55" s="77"/>
      <c r="I55" s="73" t="s">
        <v>630</v>
      </c>
      <c r="J55" s="74" t="s">
        <v>631</v>
      </c>
      <c r="K55" s="78">
        <f>IF(F55="USD",D55*VLOOKUP(L55,'Kursy walut'!C:E,2,0),IF(F55="EUR",D55*VLOOKUP(L55,'Kursy walut'!C:E,3,0),D55))</f>
        <v>25810.435999999998</v>
      </c>
      <c r="L55" s="85" t="s">
        <v>336</v>
      </c>
      <c r="M55" s="80">
        <f>D55/VLOOKUP(F55,'Kursy walut'!C:E,2,0)</f>
        <v>36404</v>
      </c>
      <c r="N55" s="81" t="s">
        <v>86</v>
      </c>
      <c r="O55" s="82">
        <f>D55/VLOOKUP(F55,'Kursy walut'!C:E,3,0)</f>
        <v>37215.293396033536</v>
      </c>
      <c r="P55" s="81" t="s">
        <v>85</v>
      </c>
      <c r="Q55" s="81" t="e">
        <f t="shared" si="1"/>
        <v>#VALUE!</v>
      </c>
    </row>
    <row r="56" spans="1:17" ht="13" x14ac:dyDescent="0.15">
      <c r="A56" s="73" t="s">
        <v>67</v>
      </c>
      <c r="B56" s="74" t="s">
        <v>130</v>
      </c>
      <c r="C56" s="83" t="s">
        <v>632</v>
      </c>
      <c r="D56" s="83" t="s">
        <v>633</v>
      </c>
      <c r="E56" s="83" t="s">
        <v>634</v>
      </c>
      <c r="F56" s="83" t="s">
        <v>131</v>
      </c>
      <c r="G56" s="76" t="s">
        <v>131</v>
      </c>
      <c r="H56" s="77"/>
      <c r="I56" s="73" t="s">
        <v>67</v>
      </c>
      <c r="J56" s="74" t="s">
        <v>130</v>
      </c>
      <c r="K56" s="78" t="str">
        <f>IF(F56="USD",D56*VLOOKUP(L56,'Kursy walut'!C:E,2,0),IF(F56="EUR",D56*VLOOKUP(L56,'Kursy walut'!C:E,3,0),D56))</f>
        <v>1,490.00</v>
      </c>
      <c r="L56" s="79" t="s">
        <v>131</v>
      </c>
      <c r="M56" s="80" t="e">
        <f>D56/VLOOKUP(F56,'Kursy walut'!C:E,2,0)</f>
        <v>#VALUE!</v>
      </c>
      <c r="N56" s="81" t="s">
        <v>86</v>
      </c>
      <c r="O56" s="82" t="e">
        <f>D56/VLOOKUP(F56,'Kursy walut'!C:E,3,0)</f>
        <v>#VALUE!</v>
      </c>
      <c r="P56" s="81" t="s">
        <v>85</v>
      </c>
      <c r="Q56" s="81" t="e">
        <f t="shared" si="1"/>
        <v>#VALUE!</v>
      </c>
    </row>
    <row r="57" spans="1:17" ht="13" x14ac:dyDescent="0.15">
      <c r="A57" s="73" t="s">
        <v>635</v>
      </c>
      <c r="B57" s="74" t="s">
        <v>636</v>
      </c>
      <c r="C57" s="83" t="s">
        <v>637</v>
      </c>
      <c r="D57" s="83" t="s">
        <v>638</v>
      </c>
      <c r="E57" s="83" t="s">
        <v>639</v>
      </c>
      <c r="F57" s="83" t="s">
        <v>341</v>
      </c>
      <c r="G57" s="76" t="s">
        <v>341</v>
      </c>
      <c r="H57" s="77"/>
      <c r="I57" s="73" t="s">
        <v>635</v>
      </c>
      <c r="J57" s="74" t="s">
        <v>636</v>
      </c>
      <c r="K57" s="78" t="str">
        <f>IF(F57="USD",D57*VLOOKUP(L57,'Kursy walut'!C:E,2,0),IF(F57="EUR",D57*VLOOKUP(L57,'Kursy walut'!C:E,3,0),D57))</f>
        <v>1,100.00</v>
      </c>
      <c r="L57" s="79" t="s">
        <v>341</v>
      </c>
      <c r="M57" s="80" t="e">
        <f>D57/VLOOKUP(F57,'Kursy walut'!C:E,2,0)</f>
        <v>#VALUE!</v>
      </c>
      <c r="N57" s="81" t="s">
        <v>86</v>
      </c>
      <c r="O57" s="82" t="e">
        <f>D57/VLOOKUP(F57,'Kursy walut'!C:E,3,0)</f>
        <v>#VALUE!</v>
      </c>
      <c r="P57" s="81" t="s">
        <v>85</v>
      </c>
      <c r="Q57" s="81" t="e">
        <f t="shared" si="1"/>
        <v>#VALUE!</v>
      </c>
    </row>
    <row r="58" spans="1:17" ht="13" x14ac:dyDescent="0.15">
      <c r="A58" s="73" t="s">
        <v>640</v>
      </c>
      <c r="B58" s="74" t="s">
        <v>641</v>
      </c>
      <c r="C58" s="83" t="s">
        <v>526</v>
      </c>
      <c r="D58" s="83" t="s">
        <v>523</v>
      </c>
      <c r="E58" s="83" t="s">
        <v>527</v>
      </c>
      <c r="F58" s="83" t="s">
        <v>85</v>
      </c>
      <c r="G58" s="76" t="s">
        <v>344</v>
      </c>
      <c r="H58" s="77"/>
      <c r="I58" s="73" t="s">
        <v>640</v>
      </c>
      <c r="J58" s="74" t="s">
        <v>641</v>
      </c>
      <c r="K58" s="78">
        <f>IF(F58="USD",D58*VLOOKUP(L58,'Kursy walut'!C:E,2,0),IF(F58="EUR",D58*VLOOKUP(L58,'Kursy walut'!C:E,3,0),D58))</f>
        <v>2895949.1211999999</v>
      </c>
      <c r="L58" s="85" t="s">
        <v>344</v>
      </c>
      <c r="M58" s="80">
        <f>D58/VLOOKUP(F58,'Kursy walut'!C:E,2,0)</f>
        <v>35609.899246796442</v>
      </c>
      <c r="N58" s="81" t="s">
        <v>86</v>
      </c>
      <c r="O58" s="82">
        <f>D58/VLOOKUP(F58,'Kursy walut'!C:E,3,0)</f>
        <v>36404</v>
      </c>
      <c r="P58" s="81" t="s">
        <v>85</v>
      </c>
      <c r="Q58" s="81" t="e">
        <f t="shared" si="1"/>
        <v>#VALUE!</v>
      </c>
    </row>
    <row r="59" spans="1:17" ht="13" x14ac:dyDescent="0.15">
      <c r="A59" s="73" t="s">
        <v>642</v>
      </c>
      <c r="B59" s="74" t="s">
        <v>643</v>
      </c>
      <c r="C59" s="83" t="s">
        <v>522</v>
      </c>
      <c r="D59" s="83" t="s">
        <v>523</v>
      </c>
      <c r="E59" s="83" t="s">
        <v>524</v>
      </c>
      <c r="F59" s="83" t="s">
        <v>86</v>
      </c>
      <c r="G59" s="76" t="s">
        <v>347</v>
      </c>
      <c r="H59" s="77"/>
      <c r="I59" s="73" t="s">
        <v>642</v>
      </c>
      <c r="J59" s="74" t="s">
        <v>643</v>
      </c>
      <c r="K59" s="78">
        <f>IF(F59="USD",D59*VLOOKUP(L59,'Kursy walut'!C:E,2,0),IF(F59="EUR",D59*VLOOKUP(L59,'Kursy walut'!C:E,3,0),D59))</f>
        <v>150639238.70359999</v>
      </c>
      <c r="L59" s="85" t="s">
        <v>347</v>
      </c>
      <c r="M59" s="80">
        <f>D59/VLOOKUP(F59,'Kursy walut'!C:E,2,0)</f>
        <v>36404</v>
      </c>
      <c r="N59" s="81" t="s">
        <v>86</v>
      </c>
      <c r="O59" s="82">
        <f>D59/VLOOKUP(F59,'Kursy walut'!C:E,3,0)</f>
        <v>37215.293396033536</v>
      </c>
      <c r="P59" s="81" t="s">
        <v>85</v>
      </c>
      <c r="Q59" s="81" t="e">
        <f t="shared" si="1"/>
        <v>#VALUE!</v>
      </c>
    </row>
    <row r="60" spans="1:17" ht="13" x14ac:dyDescent="0.15">
      <c r="A60" s="73" t="s">
        <v>60</v>
      </c>
      <c r="B60" s="74" t="s">
        <v>172</v>
      </c>
      <c r="C60" s="83" t="s">
        <v>644</v>
      </c>
      <c r="D60" s="83" t="s">
        <v>645</v>
      </c>
      <c r="E60" s="83" t="s">
        <v>646</v>
      </c>
      <c r="F60" s="83" t="s">
        <v>173</v>
      </c>
      <c r="G60" s="76" t="s">
        <v>173</v>
      </c>
      <c r="H60" s="77"/>
      <c r="I60" s="73" t="s">
        <v>60</v>
      </c>
      <c r="J60" s="74" t="s">
        <v>172</v>
      </c>
      <c r="K60" s="78" t="str">
        <f>IF(F60="USD",D60*VLOOKUP(L60,'Kursy walut'!C:E,2,0),IF(F60="EUR",D60*VLOOKUP(L60,'Kursy walut'!C:E,3,0),D60))</f>
        <v>13,500.00</v>
      </c>
      <c r="L60" s="79" t="s">
        <v>173</v>
      </c>
      <c r="M60" s="80" t="e">
        <f>D60/VLOOKUP(F60,'Kursy walut'!C:E,2,0)</f>
        <v>#VALUE!</v>
      </c>
      <c r="N60" s="81" t="s">
        <v>86</v>
      </c>
      <c r="O60" s="82" t="e">
        <f>D60/VLOOKUP(F60,'Kursy walut'!C:E,3,0)</f>
        <v>#VALUE!</v>
      </c>
      <c r="P60" s="81" t="s">
        <v>85</v>
      </c>
      <c r="Q60" s="81" t="e">
        <f t="shared" si="1"/>
        <v>#VALUE!</v>
      </c>
    </row>
    <row r="61" spans="1:17" ht="13" x14ac:dyDescent="0.15">
      <c r="A61" s="73" t="s">
        <v>647</v>
      </c>
      <c r="B61" s="74" t="s">
        <v>648</v>
      </c>
      <c r="C61" s="83" t="s">
        <v>522</v>
      </c>
      <c r="D61" s="83" t="s">
        <v>523</v>
      </c>
      <c r="E61" s="83" t="s">
        <v>649</v>
      </c>
      <c r="F61" s="83" t="s">
        <v>86</v>
      </c>
      <c r="G61" s="76" t="s">
        <v>352</v>
      </c>
      <c r="H61" s="77"/>
      <c r="I61" s="73" t="s">
        <v>647</v>
      </c>
      <c r="J61" s="74" t="s">
        <v>648</v>
      </c>
      <c r="K61" s="78">
        <f>IF(F61="USD",D61*VLOOKUP(L61,'Kursy walut'!C:E,2,0),IF(F61="EUR",D61*VLOOKUP(L61,'Kursy walut'!C:E,3,0),D61))</f>
        <v>11285.24</v>
      </c>
      <c r="L61" s="85" t="s">
        <v>352</v>
      </c>
      <c r="M61" s="80">
        <f>D61/VLOOKUP(F61,'Kursy walut'!C:E,2,0)</f>
        <v>36404</v>
      </c>
      <c r="N61" s="81" t="s">
        <v>86</v>
      </c>
      <c r="O61" s="82">
        <f>D61/VLOOKUP(F61,'Kursy walut'!C:E,3,0)</f>
        <v>37215.293396033536</v>
      </c>
      <c r="P61" s="81" t="s">
        <v>85</v>
      </c>
      <c r="Q61" s="81" t="e">
        <f t="shared" si="1"/>
        <v>#VALUE!</v>
      </c>
    </row>
    <row r="62" spans="1:17" ht="13" x14ac:dyDescent="0.15">
      <c r="A62" s="73" t="s">
        <v>49</v>
      </c>
      <c r="B62" s="74" t="s">
        <v>132</v>
      </c>
      <c r="C62" s="83" t="s">
        <v>526</v>
      </c>
      <c r="D62" s="83" t="s">
        <v>523</v>
      </c>
      <c r="E62" s="83" t="s">
        <v>527</v>
      </c>
      <c r="F62" s="83" t="s">
        <v>85</v>
      </c>
      <c r="G62" s="76" t="s">
        <v>133</v>
      </c>
      <c r="H62" s="77"/>
      <c r="I62" s="73" t="s">
        <v>49</v>
      </c>
      <c r="J62" s="74" t="s">
        <v>132</v>
      </c>
      <c r="K62" s="78">
        <f>IF(F62="USD",D62*VLOOKUP(L62,'Kursy walut'!C:E,2,0),IF(F62="EUR",D62*VLOOKUP(L62,'Kursy walut'!C:E,3,0),D62))</f>
        <v>16896163.0372</v>
      </c>
      <c r="L62" s="85" t="s">
        <v>133</v>
      </c>
      <c r="M62" s="80">
        <f>D62/VLOOKUP(F62,'Kursy walut'!C:E,2,0)</f>
        <v>35609.899246796442</v>
      </c>
      <c r="N62" s="81" t="s">
        <v>86</v>
      </c>
      <c r="O62" s="82">
        <f>D62/VLOOKUP(F62,'Kursy walut'!C:E,3,0)</f>
        <v>36404</v>
      </c>
      <c r="P62" s="81" t="s">
        <v>85</v>
      </c>
      <c r="Q62" s="81" t="e">
        <f t="shared" si="1"/>
        <v>#VALUE!</v>
      </c>
    </row>
    <row r="63" spans="1:17" ht="13" x14ac:dyDescent="0.15">
      <c r="A63" s="73" t="s">
        <v>650</v>
      </c>
      <c r="B63" s="74" t="s">
        <v>651</v>
      </c>
      <c r="C63" s="83" t="s">
        <v>522</v>
      </c>
      <c r="D63" s="83" t="s">
        <v>523</v>
      </c>
      <c r="E63" s="83" t="s">
        <v>524</v>
      </c>
      <c r="F63" s="83" t="s">
        <v>86</v>
      </c>
      <c r="G63" s="76" t="s">
        <v>357</v>
      </c>
      <c r="H63" s="77"/>
      <c r="I63" s="73" t="s">
        <v>650</v>
      </c>
      <c r="J63" s="74" t="s">
        <v>651</v>
      </c>
      <c r="K63" s="78">
        <f>IF(F63="USD",D63*VLOOKUP(L63,'Kursy walut'!C:E,2,0),IF(F63="EUR",D63*VLOOKUP(L63,'Kursy walut'!C:E,3,0),D63))</f>
        <v>606703676.20799994</v>
      </c>
      <c r="L63" s="85" t="s">
        <v>357</v>
      </c>
      <c r="M63" s="80">
        <f>D63/VLOOKUP(F63,'Kursy walut'!C:E,2,0)</f>
        <v>36404</v>
      </c>
      <c r="N63" s="81" t="s">
        <v>86</v>
      </c>
      <c r="O63" s="82">
        <f>D63/VLOOKUP(F63,'Kursy walut'!C:E,3,0)</f>
        <v>37215.293396033536</v>
      </c>
      <c r="P63" s="81" t="s">
        <v>85</v>
      </c>
      <c r="Q63" s="81" t="e">
        <f t="shared" si="1"/>
        <v>#VALUE!</v>
      </c>
    </row>
    <row r="64" spans="1:17" ht="13" x14ac:dyDescent="0.15">
      <c r="A64" s="73" t="s">
        <v>652</v>
      </c>
      <c r="B64" s="74" t="s">
        <v>364</v>
      </c>
      <c r="C64" s="83" t="s">
        <v>522</v>
      </c>
      <c r="D64" s="83" t="s">
        <v>523</v>
      </c>
      <c r="E64" s="83" t="s">
        <v>524</v>
      </c>
      <c r="F64" s="83" t="s">
        <v>86</v>
      </c>
      <c r="G64" s="76" t="s">
        <v>365</v>
      </c>
      <c r="H64" s="77"/>
      <c r="I64" s="73" t="s">
        <v>652</v>
      </c>
      <c r="J64" s="74" t="s">
        <v>364</v>
      </c>
      <c r="K64" s="78">
        <f>IF(F64="USD",D64*VLOOKUP(L64,'Kursy walut'!C:E,2,0),IF(F64="EUR",D64*VLOOKUP(L64,'Kursy walut'!C:E,3,0),D64))</f>
        <v>13284671.453600001</v>
      </c>
      <c r="L64" s="85" t="s">
        <v>365</v>
      </c>
      <c r="M64" s="80">
        <f>D64/VLOOKUP(F64,'Kursy walut'!C:E,2,0)</f>
        <v>36404</v>
      </c>
      <c r="N64" s="81" t="s">
        <v>86</v>
      </c>
      <c r="O64" s="82">
        <f>D64/VLOOKUP(F64,'Kursy walut'!C:E,3,0)</f>
        <v>37215.293396033536</v>
      </c>
      <c r="P64" s="81" t="s">
        <v>85</v>
      </c>
      <c r="Q64" s="81" t="e">
        <f t="shared" si="1"/>
        <v>#VALUE!</v>
      </c>
    </row>
    <row r="65" spans="1:17" ht="13" x14ac:dyDescent="0.15">
      <c r="A65" s="73" t="s">
        <v>43</v>
      </c>
      <c r="B65" s="74" t="s">
        <v>135</v>
      </c>
      <c r="C65" s="83" t="s">
        <v>526</v>
      </c>
      <c r="D65" s="83" t="s">
        <v>523</v>
      </c>
      <c r="E65" s="83" t="s">
        <v>527</v>
      </c>
      <c r="F65" s="75" t="s">
        <v>85</v>
      </c>
      <c r="G65" s="76" t="s">
        <v>85</v>
      </c>
      <c r="H65" s="77"/>
      <c r="I65" s="73" t="s">
        <v>43</v>
      </c>
      <c r="J65" s="74" t="s">
        <v>135</v>
      </c>
      <c r="K65" s="78">
        <f>IF(F65="USD",D65*VLOOKUP(L65,'Kursy walut'!C:E,2,0),IF(F65="EUR",D65*VLOOKUP(L65,'Kursy walut'!C:E,3,0),D65))</f>
        <v>36404</v>
      </c>
      <c r="L65" s="79" t="s">
        <v>85</v>
      </c>
      <c r="M65" s="80">
        <f>D65/VLOOKUP(F65,'Kursy walut'!C:E,2,0)</f>
        <v>35609.899246796442</v>
      </c>
      <c r="N65" s="81" t="s">
        <v>86</v>
      </c>
      <c r="O65" s="82">
        <f>D65/VLOOKUP(F65,'Kursy walut'!C:E,3,0)</f>
        <v>36404</v>
      </c>
      <c r="P65" s="81" t="s">
        <v>85</v>
      </c>
      <c r="Q65" s="81" t="e">
        <f t="shared" si="1"/>
        <v>#VALUE!</v>
      </c>
    </row>
    <row r="66" spans="1:17" ht="13" x14ac:dyDescent="0.15">
      <c r="A66" s="73" t="s">
        <v>653</v>
      </c>
      <c r="B66" s="74" t="s">
        <v>654</v>
      </c>
      <c r="C66" s="83" t="s">
        <v>597</v>
      </c>
      <c r="D66" s="83" t="s">
        <v>540</v>
      </c>
      <c r="E66" s="83" t="s">
        <v>580</v>
      </c>
      <c r="F66" s="75" t="s">
        <v>85</v>
      </c>
      <c r="G66" s="76" t="s">
        <v>85</v>
      </c>
      <c r="H66" s="77"/>
      <c r="I66" s="73" t="s">
        <v>653</v>
      </c>
      <c r="J66" s="74" t="s">
        <v>654</v>
      </c>
      <c r="K66" s="78" t="e">
        <f>IF(F66="USD",D66*VLOOKUP(L66,'Kursy walut'!C:E,2,0),IF(F66="EUR",D66*VLOOKUP(L66,'Kursy walut'!C:E,3,0),D66))</f>
        <v>#VALUE!</v>
      </c>
      <c r="L66" s="79" t="s">
        <v>85</v>
      </c>
      <c r="M66" s="80" t="e">
        <f>D66/VLOOKUP(F66,'Kursy walut'!C:E,2,0)</f>
        <v>#VALUE!</v>
      </c>
      <c r="N66" s="81" t="s">
        <v>86</v>
      </c>
      <c r="O66" s="82" t="e">
        <f>D66/VLOOKUP(F66,'Kursy walut'!C:E,3,0)</f>
        <v>#VALUE!</v>
      </c>
      <c r="P66" s="81" t="s">
        <v>85</v>
      </c>
      <c r="Q66" s="81" t="e">
        <f t="shared" si="1"/>
        <v>#VALUE!</v>
      </c>
    </row>
    <row r="67" spans="1:17" ht="13" x14ac:dyDescent="0.15">
      <c r="A67" s="73" t="s">
        <v>44</v>
      </c>
      <c r="B67" s="74" t="s">
        <v>134</v>
      </c>
      <c r="C67" s="83" t="s">
        <v>526</v>
      </c>
      <c r="D67" s="83" t="s">
        <v>523</v>
      </c>
      <c r="E67" s="83" t="s">
        <v>527</v>
      </c>
      <c r="F67" s="75" t="s">
        <v>85</v>
      </c>
      <c r="G67" s="76" t="s">
        <v>85</v>
      </c>
      <c r="H67" s="77"/>
      <c r="I67" s="73" t="s">
        <v>44</v>
      </c>
      <c r="J67" s="74" t="s">
        <v>134</v>
      </c>
      <c r="K67" s="78">
        <f>IF(F67="USD",D67*VLOOKUP(L67,'Kursy walut'!C:E,2,0),IF(F67="EUR",D67*VLOOKUP(L67,'Kursy walut'!C:E,3,0),D67))</f>
        <v>36404</v>
      </c>
      <c r="L67" s="79" t="s">
        <v>85</v>
      </c>
      <c r="M67" s="80">
        <f>D67/VLOOKUP(F67,'Kursy walut'!C:E,2,0)</f>
        <v>35609.899246796442</v>
      </c>
      <c r="N67" s="81" t="s">
        <v>86</v>
      </c>
      <c r="O67" s="82">
        <f>D67/VLOOKUP(F67,'Kursy walut'!C:E,3,0)</f>
        <v>36404</v>
      </c>
      <c r="P67" s="81" t="s">
        <v>85</v>
      </c>
      <c r="Q67" s="81" t="e">
        <f t="shared" si="1"/>
        <v>#VALUE!</v>
      </c>
    </row>
    <row r="68" spans="1:17" ht="13" x14ac:dyDescent="0.15">
      <c r="A68" s="73" t="s">
        <v>51</v>
      </c>
      <c r="B68" s="74" t="s">
        <v>140</v>
      </c>
      <c r="C68" s="83" t="s">
        <v>526</v>
      </c>
      <c r="D68" s="83" t="s">
        <v>523</v>
      </c>
      <c r="E68" s="83" t="s">
        <v>527</v>
      </c>
      <c r="F68" s="83" t="s">
        <v>85</v>
      </c>
      <c r="G68" s="76" t="s">
        <v>141</v>
      </c>
      <c r="H68" s="77"/>
      <c r="I68" s="73" t="s">
        <v>51</v>
      </c>
      <c r="J68" s="74" t="s">
        <v>140</v>
      </c>
      <c r="K68" s="78">
        <f>IF(F68="USD",D68*VLOOKUP(L68,'Kursy walut'!C:E,2,0),IF(F68="EUR",D68*VLOOKUP(L68,'Kursy walut'!C:E,3,0),D68))</f>
        <v>692611.58279999997</v>
      </c>
      <c r="L68" s="85" t="s">
        <v>141</v>
      </c>
      <c r="M68" s="80">
        <f>D68/VLOOKUP(F68,'Kursy walut'!C:E,2,0)</f>
        <v>35609.899246796442</v>
      </c>
      <c r="N68" s="81" t="s">
        <v>86</v>
      </c>
      <c r="O68" s="82">
        <f>D68/VLOOKUP(F68,'Kursy walut'!C:E,3,0)</f>
        <v>36404</v>
      </c>
      <c r="P68" s="81" t="s">
        <v>85</v>
      </c>
      <c r="Q68" s="81" t="e">
        <f t="shared" si="1"/>
        <v>#VALUE!</v>
      </c>
    </row>
    <row r="69" spans="1:17" ht="13" x14ac:dyDescent="0.15">
      <c r="A69" s="73" t="s">
        <v>55</v>
      </c>
      <c r="B69" s="74" t="s">
        <v>142</v>
      </c>
      <c r="C69" s="83" t="s">
        <v>526</v>
      </c>
      <c r="D69" s="83" t="s">
        <v>523</v>
      </c>
      <c r="E69" s="83" t="s">
        <v>527</v>
      </c>
      <c r="F69" s="75" t="s">
        <v>85</v>
      </c>
      <c r="G69" s="76" t="s">
        <v>85</v>
      </c>
      <c r="H69" s="77"/>
      <c r="I69" s="73" t="s">
        <v>55</v>
      </c>
      <c r="J69" s="74" t="s">
        <v>142</v>
      </c>
      <c r="K69" s="78">
        <f>IF(F69="USD",D69*VLOOKUP(L69,'Kursy walut'!C:E,2,0),IF(F69="EUR",D69*VLOOKUP(L69,'Kursy walut'!C:E,3,0),D69))</f>
        <v>36404</v>
      </c>
      <c r="L69" s="79" t="s">
        <v>85</v>
      </c>
      <c r="M69" s="80">
        <f>D69/VLOOKUP(F69,'Kursy walut'!C:E,2,0)</f>
        <v>35609.899246796442</v>
      </c>
      <c r="N69" s="81" t="s">
        <v>86</v>
      </c>
      <c r="O69" s="82">
        <f>D69/VLOOKUP(F69,'Kursy walut'!C:E,3,0)</f>
        <v>36404</v>
      </c>
      <c r="P69" s="81" t="s">
        <v>85</v>
      </c>
      <c r="Q69" s="81" t="e">
        <f t="shared" si="1"/>
        <v>#VALUE!</v>
      </c>
    </row>
    <row r="70" spans="1:17" ht="13" x14ac:dyDescent="0.15">
      <c r="A70" s="73" t="s">
        <v>655</v>
      </c>
      <c r="B70" s="74" t="s">
        <v>656</v>
      </c>
      <c r="C70" s="83" t="s">
        <v>522</v>
      </c>
      <c r="D70" s="83" t="s">
        <v>523</v>
      </c>
      <c r="E70" s="83" t="s">
        <v>524</v>
      </c>
      <c r="F70" s="83" t="s">
        <v>86</v>
      </c>
      <c r="G70" s="76" t="s">
        <v>381</v>
      </c>
      <c r="H70" s="77"/>
      <c r="I70" s="73" t="s">
        <v>655</v>
      </c>
      <c r="J70" s="74" t="s">
        <v>656</v>
      </c>
      <c r="K70" s="78">
        <f>IF(F70="USD",D70*VLOOKUP(L70,'Kursy walut'!C:E,2,0),IF(F70="EUR",D70*VLOOKUP(L70,'Kursy walut'!C:E,3,0),D70))</f>
        <v>153776229.63</v>
      </c>
      <c r="L70" s="85" t="s">
        <v>381</v>
      </c>
      <c r="M70" s="80">
        <f>D70/VLOOKUP(F70,'Kursy walut'!C:E,2,0)</f>
        <v>36404</v>
      </c>
      <c r="N70" s="81" t="s">
        <v>86</v>
      </c>
      <c r="O70" s="82">
        <f>D70/VLOOKUP(F70,'Kursy walut'!C:E,3,0)</f>
        <v>37215.293396033536</v>
      </c>
      <c r="P70" s="81" t="s">
        <v>85</v>
      </c>
      <c r="Q70" s="81" t="e">
        <f t="shared" si="1"/>
        <v>#VALUE!</v>
      </c>
    </row>
    <row r="71" spans="1:17" ht="13" x14ac:dyDescent="0.15">
      <c r="A71" s="73" t="s">
        <v>56</v>
      </c>
      <c r="B71" s="74" t="s">
        <v>148</v>
      </c>
      <c r="C71" s="83" t="s">
        <v>526</v>
      </c>
      <c r="D71" s="83" t="s">
        <v>523</v>
      </c>
      <c r="E71" s="83" t="s">
        <v>527</v>
      </c>
      <c r="F71" s="83" t="s">
        <v>85</v>
      </c>
      <c r="G71" s="76" t="s">
        <v>149</v>
      </c>
      <c r="H71" s="77"/>
      <c r="I71" s="73" t="s">
        <v>56</v>
      </c>
      <c r="J71" s="74" t="s">
        <v>148</v>
      </c>
      <c r="K71" s="78">
        <f>IF(F71="USD",D71*VLOOKUP(L71,'Kursy walut'!C:E,2,0),IF(F71="EUR",D71*VLOOKUP(L71,'Kursy walut'!C:E,3,0),D71))</f>
        <v>2242595.6120000002</v>
      </c>
      <c r="L71" s="85" t="s">
        <v>149</v>
      </c>
      <c r="M71" s="80">
        <f>D71/VLOOKUP(F71,'Kursy walut'!C:E,2,0)</f>
        <v>35609.899246796442</v>
      </c>
      <c r="N71" s="81" t="s">
        <v>86</v>
      </c>
      <c r="O71" s="82">
        <f>D71/VLOOKUP(F71,'Kursy walut'!C:E,3,0)</f>
        <v>36404</v>
      </c>
      <c r="P71" s="81" t="s">
        <v>85</v>
      </c>
      <c r="Q71" s="81" t="e">
        <f t="shared" si="1"/>
        <v>#VALUE!</v>
      </c>
    </row>
    <row r="72" spans="1:17" ht="13" x14ac:dyDescent="0.15">
      <c r="A72" s="73" t="s">
        <v>657</v>
      </c>
      <c r="B72" s="74" t="s">
        <v>385</v>
      </c>
      <c r="C72" s="83" t="s">
        <v>526</v>
      </c>
      <c r="D72" s="83" t="s">
        <v>514</v>
      </c>
      <c r="E72" s="83" t="s">
        <v>580</v>
      </c>
      <c r="F72" s="75" t="s">
        <v>85</v>
      </c>
      <c r="G72" s="76" t="s">
        <v>85</v>
      </c>
      <c r="H72" s="77"/>
      <c r="I72" s="73" t="s">
        <v>657</v>
      </c>
      <c r="J72" s="74" t="s">
        <v>385</v>
      </c>
      <c r="K72" s="78">
        <f>IF(F72="USD",D72*VLOOKUP(L72,'Kursy walut'!C:E,2,0),IF(F72="EUR",D72*VLOOKUP(L72,'Kursy walut'!C:E,3,0),D72))</f>
        <v>36495</v>
      </c>
      <c r="L72" s="79" t="s">
        <v>85</v>
      </c>
      <c r="M72" s="80">
        <f>D72/VLOOKUP(F72,'Kursy walut'!C:E,2,0)</f>
        <v>35698.914213049007</v>
      </c>
      <c r="N72" s="81" t="s">
        <v>86</v>
      </c>
      <c r="O72" s="82">
        <f>D72/VLOOKUP(F72,'Kursy walut'!C:E,3,0)</f>
        <v>36495</v>
      </c>
      <c r="P72" s="81" t="s">
        <v>85</v>
      </c>
      <c r="Q72" s="81" t="e">
        <f t="shared" si="1"/>
        <v>#VALUE!</v>
      </c>
    </row>
    <row r="73" spans="1:17" ht="13" x14ac:dyDescent="0.15">
      <c r="A73" s="73" t="s">
        <v>658</v>
      </c>
      <c r="B73" s="74" t="s">
        <v>387</v>
      </c>
      <c r="C73" s="83" t="s">
        <v>522</v>
      </c>
      <c r="D73" s="83" t="s">
        <v>523</v>
      </c>
      <c r="E73" s="83" t="s">
        <v>524</v>
      </c>
      <c r="F73" s="83" t="s">
        <v>86</v>
      </c>
      <c r="G73" s="76" t="s">
        <v>388</v>
      </c>
      <c r="H73" s="77"/>
      <c r="I73" s="73" t="s">
        <v>658</v>
      </c>
      <c r="J73" s="74" t="s">
        <v>387</v>
      </c>
      <c r="K73" s="78">
        <f>IF(F73="USD",D73*VLOOKUP(L73,'Kursy walut'!C:E,2,0),IF(F73="EUR",D73*VLOOKUP(L73,'Kursy walut'!C:E,3,0),D73))</f>
        <v>1641834.9616</v>
      </c>
      <c r="L73" s="85" t="s">
        <v>388</v>
      </c>
      <c r="M73" s="80">
        <f>D73/VLOOKUP(F73,'Kursy walut'!C:E,2,0)</f>
        <v>36404</v>
      </c>
      <c r="N73" s="81" t="s">
        <v>86</v>
      </c>
      <c r="O73" s="82">
        <f>D73/VLOOKUP(F73,'Kursy walut'!C:E,3,0)</f>
        <v>37215.293396033536</v>
      </c>
      <c r="P73" s="81" t="s">
        <v>85</v>
      </c>
      <c r="Q73" s="81" t="e">
        <f t="shared" si="1"/>
        <v>#VALUE!</v>
      </c>
    </row>
    <row r="74" spans="1:17" ht="13" x14ac:dyDescent="0.15">
      <c r="A74" s="73" t="s">
        <v>58</v>
      </c>
      <c r="B74" s="74" t="s">
        <v>138</v>
      </c>
      <c r="C74" s="83" t="s">
        <v>659</v>
      </c>
      <c r="D74" s="83" t="s">
        <v>660</v>
      </c>
      <c r="E74" s="83" t="s">
        <v>661</v>
      </c>
      <c r="F74" s="83" t="s">
        <v>139</v>
      </c>
      <c r="G74" s="76" t="s">
        <v>139</v>
      </c>
      <c r="H74" s="77"/>
      <c r="I74" s="73" t="s">
        <v>58</v>
      </c>
      <c r="J74" s="74" t="s">
        <v>138</v>
      </c>
      <c r="K74" s="78" t="str">
        <f>IF(F74="USD",D74*VLOOKUP(L74,'Kursy walut'!C:E,2,0),IF(F74="EUR",D74*VLOOKUP(L74,'Kursy walut'!C:E,3,0),D74))</f>
        <v>219.00</v>
      </c>
      <c r="L74" s="79" t="s">
        <v>139</v>
      </c>
      <c r="M74" s="80" t="e">
        <f>D74/VLOOKUP(F74,'Kursy walut'!C:E,2,0)</f>
        <v>#VALUE!</v>
      </c>
      <c r="N74" s="81" t="s">
        <v>86</v>
      </c>
      <c r="O74" s="82" t="e">
        <f>D74/VLOOKUP(F74,'Kursy walut'!C:E,3,0)</f>
        <v>#VALUE!</v>
      </c>
      <c r="P74" s="81" t="s">
        <v>85</v>
      </c>
      <c r="Q74" s="81" t="e">
        <f t="shared" si="1"/>
        <v>#VALUE!</v>
      </c>
    </row>
    <row r="75" spans="1:17" ht="13" x14ac:dyDescent="0.15">
      <c r="A75" s="73" t="s">
        <v>73</v>
      </c>
      <c r="B75" s="74" t="s">
        <v>136</v>
      </c>
      <c r="C75" s="83" t="s">
        <v>662</v>
      </c>
      <c r="D75" s="83" t="s">
        <v>663</v>
      </c>
      <c r="E75" s="83" t="s">
        <v>664</v>
      </c>
      <c r="F75" s="83" t="s">
        <v>137</v>
      </c>
      <c r="G75" s="76" t="s">
        <v>137</v>
      </c>
      <c r="H75" s="77"/>
      <c r="I75" s="73" t="s">
        <v>73</v>
      </c>
      <c r="J75" s="74" t="s">
        <v>136</v>
      </c>
      <c r="K75" s="78" t="str">
        <f>IF(F75="USD",D75*VLOOKUP(L75,'Kursy walut'!C:E,2,0),IF(F75="EUR",D75*VLOOKUP(L75,'Kursy walut'!C:E,3,0),D75))</f>
        <v>45.00</v>
      </c>
      <c r="L75" s="79" t="s">
        <v>137</v>
      </c>
      <c r="M75" s="80" t="e">
        <f>D75/VLOOKUP(F75,'Kursy walut'!C:E,2,0)</f>
        <v>#VALUE!</v>
      </c>
      <c r="N75" s="81" t="s">
        <v>86</v>
      </c>
      <c r="O75" s="82" t="e">
        <f>D75/VLOOKUP(F75,'Kursy walut'!C:E,3,0)</f>
        <v>#VALUE!</v>
      </c>
      <c r="P75" s="81" t="s">
        <v>85</v>
      </c>
      <c r="Q75" s="81" t="e">
        <f t="shared" si="1"/>
        <v>#VALUE!</v>
      </c>
    </row>
    <row r="76" spans="1:17" ht="13" x14ac:dyDescent="0.15">
      <c r="A76" s="73" t="s">
        <v>665</v>
      </c>
      <c r="B76" s="74" t="s">
        <v>666</v>
      </c>
      <c r="C76" s="83" t="s">
        <v>522</v>
      </c>
      <c r="D76" s="83" t="s">
        <v>523</v>
      </c>
      <c r="E76" s="83" t="s">
        <v>524</v>
      </c>
      <c r="F76" s="83" t="s">
        <v>86</v>
      </c>
      <c r="G76" s="76" t="s">
        <v>667</v>
      </c>
      <c r="H76" s="77"/>
      <c r="I76" s="73" t="s">
        <v>665</v>
      </c>
      <c r="J76" s="74" t="s">
        <v>666</v>
      </c>
      <c r="K76" s="78" t="e">
        <f>IF(F76="USD",D76*VLOOKUP(L76,'Kursy walut'!C:E,2,0),IF(F76="EUR",D76*VLOOKUP(L76,'Kursy walut'!C:E,3,0),D76))</f>
        <v>#N/A</v>
      </c>
      <c r="L76" s="85" t="s">
        <v>667</v>
      </c>
      <c r="M76" s="80">
        <f>D76/VLOOKUP(F76,'Kursy walut'!C:E,2,0)</f>
        <v>36404</v>
      </c>
      <c r="N76" s="81" t="s">
        <v>86</v>
      </c>
      <c r="O76" s="82">
        <f>D76/VLOOKUP(F76,'Kursy walut'!C:E,3,0)</f>
        <v>37215.293396033536</v>
      </c>
      <c r="P76" s="81" t="s">
        <v>85</v>
      </c>
      <c r="Q76" s="81" t="e">
        <f t="shared" si="1"/>
        <v>#VALUE!</v>
      </c>
    </row>
    <row r="77" spans="1:17" ht="13" x14ac:dyDescent="0.15">
      <c r="A77" s="73" t="s">
        <v>668</v>
      </c>
      <c r="B77" s="74" t="s">
        <v>394</v>
      </c>
      <c r="C77" s="83" t="s">
        <v>522</v>
      </c>
      <c r="D77" s="83" t="s">
        <v>523</v>
      </c>
      <c r="E77" s="83" t="s">
        <v>524</v>
      </c>
      <c r="F77" s="83" t="s">
        <v>86</v>
      </c>
      <c r="G77" s="76" t="s">
        <v>395</v>
      </c>
      <c r="H77" s="77"/>
      <c r="I77" s="73" t="s">
        <v>668</v>
      </c>
      <c r="J77" s="74" t="s">
        <v>394</v>
      </c>
      <c r="K77" s="78">
        <f>IF(F77="USD",D77*VLOOKUP(L77,'Kursy walut'!C:E,2,0),IF(F77="EUR",D77*VLOOKUP(L77,'Kursy walut'!C:E,3,0),D77))</f>
        <v>655879.94680000003</v>
      </c>
      <c r="L77" s="85" t="s">
        <v>395</v>
      </c>
      <c r="M77" s="80">
        <f>D77/VLOOKUP(F77,'Kursy walut'!C:E,2,0)</f>
        <v>36404</v>
      </c>
      <c r="N77" s="81" t="s">
        <v>86</v>
      </c>
      <c r="O77" s="82">
        <f>D77/VLOOKUP(F77,'Kursy walut'!C:E,3,0)</f>
        <v>37215.293396033536</v>
      </c>
      <c r="P77" s="81" t="s">
        <v>85</v>
      </c>
      <c r="Q77" s="81" t="e">
        <f t="shared" si="1"/>
        <v>#VALUE!</v>
      </c>
    </row>
    <row r="78" spans="1:17" ht="13" x14ac:dyDescent="0.15">
      <c r="A78" s="73" t="s">
        <v>66</v>
      </c>
      <c r="B78" s="74" t="s">
        <v>146</v>
      </c>
      <c r="C78" s="83" t="s">
        <v>669</v>
      </c>
      <c r="D78" s="83" t="s">
        <v>670</v>
      </c>
      <c r="E78" s="83" t="s">
        <v>671</v>
      </c>
      <c r="F78" s="83" t="s">
        <v>147</v>
      </c>
      <c r="G78" s="76" t="s">
        <v>147</v>
      </c>
      <c r="H78" s="77"/>
      <c r="I78" s="73" t="s">
        <v>66</v>
      </c>
      <c r="J78" s="74" t="s">
        <v>146</v>
      </c>
      <c r="K78" s="78" t="str">
        <f>IF(F78="USD",D78*VLOOKUP(L78,'Kursy walut'!C:E,2,0),IF(F78="EUR",D78*VLOOKUP(L78,'Kursy walut'!C:E,3,0),D78))</f>
        <v>3,600.00</v>
      </c>
      <c r="L78" s="79" t="s">
        <v>147</v>
      </c>
      <c r="M78" s="80" t="e">
        <f>D78/VLOOKUP(F78,'Kursy walut'!C:E,2,0)</f>
        <v>#VALUE!</v>
      </c>
      <c r="N78" s="81" t="s">
        <v>86</v>
      </c>
      <c r="O78" s="82" t="e">
        <f>D78/VLOOKUP(F78,'Kursy walut'!C:E,3,0)</f>
        <v>#VALUE!</v>
      </c>
      <c r="P78" s="81" t="s">
        <v>85</v>
      </c>
      <c r="Q78" s="81" t="e">
        <f t="shared" si="1"/>
        <v>#VALUE!</v>
      </c>
    </row>
    <row r="79" spans="1:17" ht="13" x14ac:dyDescent="0.15">
      <c r="A79" s="73" t="s">
        <v>672</v>
      </c>
      <c r="B79" s="74" t="s">
        <v>673</v>
      </c>
      <c r="C79" s="83" t="s">
        <v>522</v>
      </c>
      <c r="D79" s="83" t="s">
        <v>532</v>
      </c>
      <c r="E79" s="83" t="s">
        <v>543</v>
      </c>
      <c r="F79" s="83" t="s">
        <v>86</v>
      </c>
      <c r="G79" s="76" t="s">
        <v>399</v>
      </c>
      <c r="H79" s="77"/>
      <c r="I79" s="73" t="s">
        <v>672</v>
      </c>
      <c r="J79" s="74" t="s">
        <v>673</v>
      </c>
      <c r="K79" s="78">
        <f>IF(F79="USD",D79*VLOOKUP(L79,'Kursy walut'!C:E,2,0),IF(F79="EUR",D79*VLOOKUP(L79,'Kursy walut'!C:E,3,0),D79))</f>
        <v>1312050.2777999998</v>
      </c>
      <c r="L79" s="85" t="s">
        <v>399</v>
      </c>
      <c r="M79" s="80">
        <f>D79/VLOOKUP(F79,'Kursy walut'!C:E,2,0)</f>
        <v>36434</v>
      </c>
      <c r="N79" s="81" t="s">
        <v>86</v>
      </c>
      <c r="O79" s="82">
        <f>D79/VLOOKUP(F79,'Kursy walut'!C:E,3,0)</f>
        <v>37245.961970967081</v>
      </c>
      <c r="P79" s="81" t="s">
        <v>85</v>
      </c>
      <c r="Q79" s="81" t="e">
        <f t="shared" si="1"/>
        <v>#VALUE!</v>
      </c>
    </row>
    <row r="80" spans="1:17" ht="13" x14ac:dyDescent="0.15">
      <c r="A80" s="73" t="s">
        <v>39</v>
      </c>
      <c r="B80" s="74" t="s">
        <v>143</v>
      </c>
      <c r="C80" s="83" t="s">
        <v>526</v>
      </c>
      <c r="D80" s="83" t="s">
        <v>595</v>
      </c>
      <c r="E80" s="83" t="s">
        <v>596</v>
      </c>
      <c r="F80" s="75" t="s">
        <v>85</v>
      </c>
      <c r="G80" s="76" t="s">
        <v>85</v>
      </c>
      <c r="H80" s="77"/>
      <c r="I80" s="73" t="s">
        <v>39</v>
      </c>
      <c r="J80" s="74" t="s">
        <v>143</v>
      </c>
      <c r="K80" s="78">
        <f>IF(F80="USD",D80*VLOOKUP(L80,'Kursy walut'!C:E,2,0),IF(F80="EUR",D80*VLOOKUP(L80,'Kursy walut'!C:E,3,0),D80))</f>
        <v>36465</v>
      </c>
      <c r="L80" s="79" t="s">
        <v>85</v>
      </c>
      <c r="M80" s="80">
        <f>D80/VLOOKUP(F80,'Kursy walut'!C:E,2,0)</f>
        <v>35669.568619778933</v>
      </c>
      <c r="N80" s="81" t="s">
        <v>86</v>
      </c>
      <c r="O80" s="82">
        <f>D80/VLOOKUP(F80,'Kursy walut'!C:E,3,0)</f>
        <v>36465</v>
      </c>
      <c r="P80" s="81" t="s">
        <v>85</v>
      </c>
      <c r="Q80" s="81" t="e">
        <f t="shared" si="1"/>
        <v>#VALUE!</v>
      </c>
    </row>
    <row r="81" spans="1:17" ht="13" x14ac:dyDescent="0.15">
      <c r="A81" s="73" t="s">
        <v>35</v>
      </c>
      <c r="B81" s="74" t="s">
        <v>150</v>
      </c>
      <c r="C81" s="83" t="s">
        <v>674</v>
      </c>
      <c r="D81" s="83" t="s">
        <v>675</v>
      </c>
      <c r="E81" s="83" t="s">
        <v>676</v>
      </c>
      <c r="F81" s="83" t="s">
        <v>151</v>
      </c>
      <c r="G81" s="76" t="s">
        <v>151</v>
      </c>
      <c r="H81" s="77"/>
      <c r="I81" s="73" t="s">
        <v>35</v>
      </c>
      <c r="J81" s="74" t="s">
        <v>150</v>
      </c>
      <c r="K81" s="78" t="str">
        <f>IF(F81="USD",D81*VLOOKUP(L81,'Kursy walut'!C:E,2,0),IF(F81="EUR",D81*VLOOKUP(L81,'Kursy walut'!C:E,3,0),D81))</f>
        <v>109.00</v>
      </c>
      <c r="L81" s="79" t="s">
        <v>151</v>
      </c>
      <c r="M81" s="80" t="e">
        <f>D81/VLOOKUP(F81,'Kursy walut'!C:E,2,0)</f>
        <v>#VALUE!</v>
      </c>
      <c r="N81" s="81" t="s">
        <v>86</v>
      </c>
      <c r="O81" s="82" t="e">
        <f>D81/VLOOKUP(F81,'Kursy walut'!C:E,3,0)</f>
        <v>#VALUE!</v>
      </c>
      <c r="P81" s="81" t="s">
        <v>85</v>
      </c>
      <c r="Q81" s="81" t="e">
        <f t="shared" si="1"/>
        <v>#VALUE!</v>
      </c>
    </row>
    <row r="82" spans="1:17" ht="13" x14ac:dyDescent="0.15">
      <c r="A82" s="73" t="s">
        <v>48</v>
      </c>
      <c r="B82" s="74" t="s">
        <v>144</v>
      </c>
      <c r="C82" s="83" t="s">
        <v>677</v>
      </c>
      <c r="D82" s="83" t="s">
        <v>678</v>
      </c>
      <c r="E82" s="83" t="s">
        <v>679</v>
      </c>
      <c r="F82" s="83" t="s">
        <v>145</v>
      </c>
      <c r="G82" s="76" t="s">
        <v>145</v>
      </c>
      <c r="H82" s="77"/>
      <c r="I82" s="73" t="s">
        <v>48</v>
      </c>
      <c r="J82" s="74" t="s">
        <v>144</v>
      </c>
      <c r="K82" s="78" t="str">
        <f>IF(F82="USD",D82*VLOOKUP(L82,'Kursy walut'!C:E,2,0),IF(F82="EUR",D82*VLOOKUP(L82,'Kursy walut'!C:E,3,0),D82))</f>
        <v>18.49</v>
      </c>
      <c r="L82" s="79" t="s">
        <v>145</v>
      </c>
      <c r="M82" s="80" t="e">
        <f>D82/VLOOKUP(F82,'Kursy walut'!C:E,2,0)</f>
        <v>#VALUE!</v>
      </c>
      <c r="N82" s="81" t="s">
        <v>86</v>
      </c>
      <c r="O82" s="82" t="e">
        <f>D82/VLOOKUP(F82,'Kursy walut'!C:E,3,0)</f>
        <v>#VALUE!</v>
      </c>
      <c r="P82" s="81" t="s">
        <v>85</v>
      </c>
      <c r="Q82" s="81" t="e">
        <f t="shared" si="1"/>
        <v>#VALUE!</v>
      </c>
    </row>
    <row r="83" spans="1:17" ht="13" x14ac:dyDescent="0.15">
      <c r="A83" s="73" t="s">
        <v>680</v>
      </c>
      <c r="B83" s="74" t="s">
        <v>410</v>
      </c>
      <c r="C83" s="83" t="s">
        <v>681</v>
      </c>
      <c r="D83" s="83" t="s">
        <v>682</v>
      </c>
      <c r="E83" s="83" t="s">
        <v>683</v>
      </c>
      <c r="F83" s="83" t="s">
        <v>86</v>
      </c>
      <c r="G83" s="76" t="s">
        <v>411</v>
      </c>
      <c r="H83" s="77"/>
      <c r="I83" s="73" t="s">
        <v>680</v>
      </c>
      <c r="J83" s="74" t="s">
        <v>410</v>
      </c>
      <c r="K83" s="78">
        <f>IF(F83="USD",D83*VLOOKUP(L83,'Kursy walut'!C:E,2,0),IF(F83="EUR",D83*VLOOKUP(L83,'Kursy walut'!C:E,3,0),D83))</f>
        <v>6996.22</v>
      </c>
      <c r="L83" s="85" t="s">
        <v>411</v>
      </c>
      <c r="M83" s="80">
        <f>D83/VLOOKUP(F83,'Kursy walut'!C:E,2,0)</f>
        <v>18172</v>
      </c>
      <c r="N83" s="81" t="s">
        <v>86</v>
      </c>
      <c r="O83" s="82">
        <f>D83/VLOOKUP(F83,'Kursy walut'!C:E,3,0)</f>
        <v>18576.978123083216</v>
      </c>
      <c r="P83" s="81" t="s">
        <v>85</v>
      </c>
      <c r="Q83" s="81" t="e">
        <f t="shared" si="1"/>
        <v>#VALUE!</v>
      </c>
    </row>
    <row r="84" spans="1:17" ht="13" x14ac:dyDescent="0.15">
      <c r="A84" s="73" t="s">
        <v>684</v>
      </c>
      <c r="B84" s="74" t="s">
        <v>413</v>
      </c>
      <c r="C84" s="83" t="s">
        <v>570</v>
      </c>
      <c r="D84" s="83" t="s">
        <v>514</v>
      </c>
      <c r="E84" s="83" t="s">
        <v>571</v>
      </c>
      <c r="F84" s="83" t="s">
        <v>86</v>
      </c>
      <c r="G84" s="76" t="s">
        <v>414</v>
      </c>
      <c r="H84" s="77"/>
      <c r="I84" s="73" t="s">
        <v>684</v>
      </c>
      <c r="J84" s="74" t="s">
        <v>413</v>
      </c>
      <c r="K84" s="78">
        <f>IF(F84="USD",D84*VLOOKUP(L84,'Kursy walut'!C:E,2,0),IF(F84="EUR",D84*VLOOKUP(L84,'Kursy walut'!C:E,3,0),D84))</f>
        <v>36538.794000000002</v>
      </c>
      <c r="L84" s="85" t="s">
        <v>414</v>
      </c>
      <c r="M84" s="80">
        <f>D84/VLOOKUP(F84,'Kursy walut'!C:E,2,0)</f>
        <v>36495</v>
      </c>
      <c r="N84" s="81" t="s">
        <v>86</v>
      </c>
      <c r="O84" s="82">
        <f>D84/VLOOKUP(F84,'Kursy walut'!C:E,3,0)</f>
        <v>37308.321406665302</v>
      </c>
      <c r="P84" s="81" t="s">
        <v>85</v>
      </c>
      <c r="Q84" s="81" t="e">
        <f t="shared" si="1"/>
        <v>#VALUE!</v>
      </c>
    </row>
    <row r="85" spans="1:17" ht="13" x14ac:dyDescent="0.15">
      <c r="A85" s="73" t="s">
        <v>63</v>
      </c>
      <c r="B85" s="74" t="s">
        <v>154</v>
      </c>
      <c r="C85" s="83" t="s">
        <v>685</v>
      </c>
      <c r="D85" s="83" t="s">
        <v>686</v>
      </c>
      <c r="E85" s="83" t="s">
        <v>687</v>
      </c>
      <c r="F85" s="83" t="s">
        <v>155</v>
      </c>
      <c r="G85" s="76" t="s">
        <v>155</v>
      </c>
      <c r="H85" s="77"/>
      <c r="I85" s="73" t="s">
        <v>63</v>
      </c>
      <c r="J85" s="74" t="s">
        <v>154</v>
      </c>
      <c r="K85" s="78" t="str">
        <f>IF(F85="USD",D85*VLOOKUP(L85,'Kursy walut'!C:E,2,0),IF(F85="EUR",D85*VLOOKUP(L85,'Kursy walut'!C:E,3,0),D85))</f>
        <v>34.90</v>
      </c>
      <c r="L85" s="79" t="s">
        <v>155</v>
      </c>
      <c r="M85" s="80" t="e">
        <f>D85/VLOOKUP(F85,'Kursy walut'!C:E,2,0)</f>
        <v>#VALUE!</v>
      </c>
      <c r="N85" s="81" t="s">
        <v>86</v>
      </c>
      <c r="O85" s="82" t="e">
        <f>D85/VLOOKUP(F85,'Kursy walut'!C:E,3,0)</f>
        <v>#VALUE!</v>
      </c>
      <c r="P85" s="81" t="s">
        <v>85</v>
      </c>
      <c r="Q85" s="81" t="e">
        <f t="shared" si="1"/>
        <v>#VALUE!</v>
      </c>
    </row>
    <row r="86" spans="1:17" ht="13" x14ac:dyDescent="0.15">
      <c r="A86" s="73" t="s">
        <v>81</v>
      </c>
      <c r="B86" s="74" t="s">
        <v>156</v>
      </c>
      <c r="C86" s="83" t="s">
        <v>688</v>
      </c>
      <c r="D86" s="83" t="s">
        <v>689</v>
      </c>
      <c r="E86" s="83" t="s">
        <v>690</v>
      </c>
      <c r="F86" s="83" t="s">
        <v>157</v>
      </c>
      <c r="G86" s="76" t="s">
        <v>157</v>
      </c>
      <c r="H86" s="77"/>
      <c r="I86" s="73" t="s">
        <v>81</v>
      </c>
      <c r="J86" s="74" t="s">
        <v>156</v>
      </c>
      <c r="K86" s="78" t="str">
        <f>IF(F86="USD",D86*VLOOKUP(L86,'Kursy walut'!C:E,2,0),IF(F86="EUR",D86*VLOOKUP(L86,'Kursy walut'!C:E,3,0),D86))</f>
        <v>459.00</v>
      </c>
      <c r="L86" s="79" t="s">
        <v>157</v>
      </c>
      <c r="M86" s="80" t="e">
        <f>D86/VLOOKUP(F86,'Kursy walut'!C:E,2,0)</f>
        <v>#VALUE!</v>
      </c>
      <c r="N86" s="81" t="s">
        <v>86</v>
      </c>
      <c r="O86" s="82" t="e">
        <f>D86/VLOOKUP(F86,'Kursy walut'!C:E,3,0)</f>
        <v>#VALUE!</v>
      </c>
      <c r="P86" s="81" t="s">
        <v>85</v>
      </c>
      <c r="Q86" s="81" t="e">
        <f t="shared" si="1"/>
        <v>#VALUE!</v>
      </c>
    </row>
    <row r="87" spans="1:17" ht="13" x14ac:dyDescent="0.15">
      <c r="A87" s="73" t="s">
        <v>74</v>
      </c>
      <c r="B87" s="74" t="s">
        <v>152</v>
      </c>
      <c r="C87" s="83" t="s">
        <v>691</v>
      </c>
      <c r="D87" s="83" t="s">
        <v>692</v>
      </c>
      <c r="E87" s="83" t="s">
        <v>693</v>
      </c>
      <c r="F87" s="83" t="s">
        <v>153</v>
      </c>
      <c r="G87" s="76" t="s">
        <v>153</v>
      </c>
      <c r="H87" s="77"/>
      <c r="I87" s="73" t="s">
        <v>74</v>
      </c>
      <c r="J87" s="74" t="s">
        <v>152</v>
      </c>
      <c r="K87" s="78" t="str">
        <f>IF(F87="USD",D87*VLOOKUP(L87,'Kursy walut'!C:E,2,0),IF(F87="EUR",D87*VLOOKUP(L87,'Kursy walut'!C:E,3,0),D87))</f>
        <v>800.00</v>
      </c>
      <c r="L87" s="79" t="s">
        <v>153</v>
      </c>
      <c r="M87" s="80" t="e">
        <f>D87/VLOOKUP(F87,'Kursy walut'!C:E,2,0)</f>
        <v>#VALUE!</v>
      </c>
      <c r="N87" s="81" t="s">
        <v>86</v>
      </c>
      <c r="O87" s="82" t="e">
        <f>D87/VLOOKUP(F87,'Kursy walut'!C:E,3,0)</f>
        <v>#VALUE!</v>
      </c>
      <c r="P87" s="81" t="s">
        <v>85</v>
      </c>
      <c r="Q87" s="81" t="e">
        <f t="shared" si="1"/>
        <v>#VALUE!</v>
      </c>
    </row>
    <row r="88" spans="1:17" ht="13" x14ac:dyDescent="0.15">
      <c r="A88" s="73" t="s">
        <v>70</v>
      </c>
      <c r="B88" s="74" t="s">
        <v>158</v>
      </c>
      <c r="C88" s="83" t="s">
        <v>694</v>
      </c>
      <c r="D88" s="83" t="s">
        <v>695</v>
      </c>
      <c r="E88" s="83" t="s">
        <v>696</v>
      </c>
      <c r="F88" s="83" t="s">
        <v>159</v>
      </c>
      <c r="G88" s="76" t="s">
        <v>159</v>
      </c>
      <c r="H88" s="77"/>
      <c r="I88" s="73" t="s">
        <v>70</v>
      </c>
      <c r="J88" s="74" t="s">
        <v>158</v>
      </c>
      <c r="K88" s="78" t="str">
        <f>IF(F88="USD",D88*VLOOKUP(L88,'Kursy walut'!C:E,2,0),IF(F88="EUR",D88*VLOOKUP(L88,'Kursy walut'!C:E,3,0),D88))</f>
        <v>43.00</v>
      </c>
      <c r="L88" s="79" t="s">
        <v>159</v>
      </c>
      <c r="M88" s="80" t="e">
        <f>D88/VLOOKUP(F88,'Kursy walut'!C:E,2,0)</f>
        <v>#VALUE!</v>
      </c>
      <c r="N88" s="81" t="s">
        <v>86</v>
      </c>
      <c r="O88" s="82" t="e">
        <f>D88/VLOOKUP(F88,'Kursy walut'!C:E,3,0)</f>
        <v>#VALUE!</v>
      </c>
      <c r="P88" s="81" t="s">
        <v>85</v>
      </c>
      <c r="Q88" s="81" t="e">
        <f t="shared" si="1"/>
        <v>#VALUE!</v>
      </c>
    </row>
    <row r="89" spans="1:17" ht="13" x14ac:dyDescent="0.15">
      <c r="A89" s="73" t="s">
        <v>697</v>
      </c>
      <c r="B89" s="74" t="s">
        <v>698</v>
      </c>
      <c r="C89" s="83" t="s">
        <v>699</v>
      </c>
      <c r="D89" s="83" t="s">
        <v>700</v>
      </c>
      <c r="E89" s="83" t="s">
        <v>701</v>
      </c>
      <c r="F89" s="83" t="s">
        <v>86</v>
      </c>
      <c r="G89" s="76" t="s">
        <v>86</v>
      </c>
      <c r="H89" s="77"/>
      <c r="I89" s="73" t="s">
        <v>697</v>
      </c>
      <c r="J89" s="74" t="s">
        <v>698</v>
      </c>
      <c r="K89" s="78" t="e">
        <f>IF(F89="USD",D89*VLOOKUP(L89,'Kursy walut'!C:E,2,0),IF(F89="EUR",D89*VLOOKUP(L89,'Kursy walut'!C:E,3,0),D89))</f>
        <v>#VALUE!</v>
      </c>
      <c r="L89" s="79" t="s">
        <v>86</v>
      </c>
      <c r="M89" s="80" t="e">
        <f>D89/VLOOKUP(F89,'Kursy walut'!C:E,2,0)</f>
        <v>#VALUE!</v>
      </c>
      <c r="N89" s="81" t="s">
        <v>86</v>
      </c>
      <c r="O89" s="82" t="e">
        <f>D89/VLOOKUP(F89,'Kursy walut'!C:E,3,0)</f>
        <v>#VALUE!</v>
      </c>
      <c r="P89" s="81" t="s">
        <v>85</v>
      </c>
      <c r="Q89" s="81" t="e">
        <f t="shared" si="1"/>
        <v>#VALUE!</v>
      </c>
    </row>
    <row r="90" spans="1:17" ht="13" x14ac:dyDescent="0.15">
      <c r="A90" s="73" t="s">
        <v>45</v>
      </c>
      <c r="B90" s="74" t="s">
        <v>160</v>
      </c>
      <c r="C90" s="83" t="s">
        <v>526</v>
      </c>
      <c r="D90" s="83" t="s">
        <v>595</v>
      </c>
      <c r="E90" s="83" t="s">
        <v>596</v>
      </c>
      <c r="F90" s="75" t="s">
        <v>85</v>
      </c>
      <c r="G90" s="76" t="s">
        <v>85</v>
      </c>
      <c r="H90" s="77"/>
      <c r="I90" s="73" t="s">
        <v>45</v>
      </c>
      <c r="J90" s="74" t="s">
        <v>160</v>
      </c>
      <c r="K90" s="78">
        <f>IF(F90="USD",D90*VLOOKUP(L90,'Kursy walut'!C:E,2,0),IF(F90="EUR",D90*VLOOKUP(L90,'Kursy walut'!C:E,3,0),D90))</f>
        <v>36465</v>
      </c>
      <c r="L90" s="79" t="s">
        <v>85</v>
      </c>
      <c r="M90" s="80">
        <f>D90/VLOOKUP(F90,'Kursy walut'!C:E,2,0)</f>
        <v>35669.568619778933</v>
      </c>
      <c r="N90" s="81" t="s">
        <v>86</v>
      </c>
      <c r="O90" s="82">
        <f>D90/VLOOKUP(F90,'Kursy walut'!C:E,3,0)</f>
        <v>36465</v>
      </c>
      <c r="P90" s="81" t="s">
        <v>85</v>
      </c>
      <c r="Q90" s="81" t="e">
        <f t="shared" si="1"/>
        <v>#VALUE!</v>
      </c>
    </row>
    <row r="91" spans="1:17" ht="13" x14ac:dyDescent="0.15">
      <c r="A91" s="73" t="s">
        <v>702</v>
      </c>
      <c r="B91" s="74" t="s">
        <v>703</v>
      </c>
      <c r="C91" s="83" t="s">
        <v>704</v>
      </c>
      <c r="D91" s="83" t="s">
        <v>705</v>
      </c>
      <c r="E91" s="83" t="s">
        <v>706</v>
      </c>
      <c r="F91" s="83" t="s">
        <v>86</v>
      </c>
      <c r="G91" s="76" t="s">
        <v>427</v>
      </c>
      <c r="H91" s="77"/>
      <c r="I91" s="73" t="s">
        <v>702</v>
      </c>
      <c r="J91" s="74" t="s">
        <v>703</v>
      </c>
      <c r="K91" s="78">
        <f>IF(F91="USD",D91*VLOOKUP(L91,'Kursy walut'!C:E,2,0),IF(F91="EUR",D91*VLOOKUP(L91,'Kursy walut'!C:E,3,0),D91))</f>
        <v>129264474.23930001</v>
      </c>
      <c r="L91" s="85" t="s">
        <v>427</v>
      </c>
      <c r="M91" s="80">
        <f>D91/VLOOKUP(F91,'Kursy walut'!C:E,2,0)</f>
        <v>18203</v>
      </c>
      <c r="N91" s="81" t="s">
        <v>86</v>
      </c>
      <c r="O91" s="82">
        <f>D91/VLOOKUP(F91,'Kursy walut'!C:E,3,0)</f>
        <v>18608.668983847885</v>
      </c>
      <c r="P91" s="81" t="s">
        <v>85</v>
      </c>
      <c r="Q91" s="81" t="e">
        <f t="shared" si="1"/>
        <v>#VALUE!</v>
      </c>
    </row>
    <row r="92" spans="1:17" ht="13" x14ac:dyDescent="0.15">
      <c r="A92" s="73" t="s">
        <v>707</v>
      </c>
      <c r="B92" s="74" t="s">
        <v>708</v>
      </c>
      <c r="C92" s="83" t="s">
        <v>522</v>
      </c>
      <c r="D92" s="83" t="s">
        <v>523</v>
      </c>
      <c r="E92" s="83" t="s">
        <v>649</v>
      </c>
      <c r="F92" s="83" t="s">
        <v>86</v>
      </c>
      <c r="G92" s="76" t="s">
        <v>430</v>
      </c>
      <c r="H92" s="77"/>
      <c r="I92" s="73" t="s">
        <v>707</v>
      </c>
      <c r="J92" s="74" t="s">
        <v>708</v>
      </c>
      <c r="K92" s="78">
        <f>IF(F92="USD",D92*VLOOKUP(L92,'Kursy walut'!C:E,2,0),IF(F92="EUR",D92*VLOOKUP(L92,'Kursy walut'!C:E,3,0),D92))</f>
        <v>132546.96400000001</v>
      </c>
      <c r="L92" s="85" t="s">
        <v>430</v>
      </c>
      <c r="M92" s="80">
        <f>D92/VLOOKUP(F92,'Kursy walut'!C:E,2,0)</f>
        <v>36404</v>
      </c>
      <c r="N92" s="81" t="s">
        <v>86</v>
      </c>
      <c r="O92" s="82">
        <f>D92/VLOOKUP(F92,'Kursy walut'!C:E,3,0)</f>
        <v>37215.293396033536</v>
      </c>
      <c r="P92" s="81" t="s">
        <v>85</v>
      </c>
      <c r="Q92" s="81" t="e">
        <f t="shared" si="1"/>
        <v>#VALUE!</v>
      </c>
    </row>
    <row r="93" spans="1:17" ht="13" x14ac:dyDescent="0.15">
      <c r="A93" s="73" t="s">
        <v>64</v>
      </c>
      <c r="B93" s="74" t="s">
        <v>161</v>
      </c>
      <c r="C93" s="83" t="s">
        <v>526</v>
      </c>
      <c r="D93" s="83" t="s">
        <v>523</v>
      </c>
      <c r="E93" s="83" t="s">
        <v>527</v>
      </c>
      <c r="F93" s="83" t="s">
        <v>85</v>
      </c>
      <c r="G93" s="76" t="s">
        <v>162</v>
      </c>
      <c r="H93" s="77"/>
      <c r="I93" s="73" t="s">
        <v>64</v>
      </c>
      <c r="J93" s="74" t="s">
        <v>161</v>
      </c>
      <c r="K93" s="78">
        <f>IF(F93="USD",D93*VLOOKUP(L93,'Kursy walut'!C:E,2,0),IF(F93="EUR",D93*VLOOKUP(L93,'Kursy walut'!C:E,3,0),D93))</f>
        <v>180130.6324</v>
      </c>
      <c r="L93" s="85" t="s">
        <v>162</v>
      </c>
      <c r="M93" s="80">
        <f>D93/VLOOKUP(F93,'Kursy walut'!C:E,2,0)</f>
        <v>35609.899246796442</v>
      </c>
      <c r="N93" s="81" t="s">
        <v>86</v>
      </c>
      <c r="O93" s="82">
        <f>D93/VLOOKUP(F93,'Kursy walut'!C:E,3,0)</f>
        <v>36404</v>
      </c>
      <c r="P93" s="81" t="s">
        <v>85</v>
      </c>
      <c r="Q93" s="81" t="e">
        <f t="shared" si="1"/>
        <v>#VALUE!</v>
      </c>
    </row>
    <row r="94" spans="1:17" ht="13" x14ac:dyDescent="0.15">
      <c r="A94" s="73" t="s">
        <v>50</v>
      </c>
      <c r="B94" s="74" t="s">
        <v>165</v>
      </c>
      <c r="C94" s="83" t="s">
        <v>526</v>
      </c>
      <c r="D94" s="83" t="s">
        <v>523</v>
      </c>
      <c r="E94" s="83" t="s">
        <v>527</v>
      </c>
      <c r="F94" s="83" t="s">
        <v>86</v>
      </c>
      <c r="G94" s="76" t="s">
        <v>166</v>
      </c>
      <c r="H94" s="77"/>
      <c r="I94" s="73" t="s">
        <v>50</v>
      </c>
      <c r="J94" s="74" t="s">
        <v>165</v>
      </c>
      <c r="K94" s="78">
        <f>IF(F94="USD",D94*VLOOKUP(L94,'Kursy walut'!C:E,2,0),IF(F94="EUR",D94*VLOOKUP(L94,'Kursy walut'!C:E,3,0),D94))</f>
        <v>4365352.8964</v>
      </c>
      <c r="L94" s="85" t="s">
        <v>166</v>
      </c>
      <c r="M94" s="80">
        <f>D94/VLOOKUP(F94,'Kursy walut'!C:E,2,0)</f>
        <v>36404</v>
      </c>
      <c r="N94" s="81" t="s">
        <v>86</v>
      </c>
      <c r="O94" s="82">
        <f>D94/VLOOKUP(F94,'Kursy walut'!C:E,3,0)</f>
        <v>37215.293396033536</v>
      </c>
      <c r="P94" s="81" t="s">
        <v>85</v>
      </c>
      <c r="Q94" s="81" t="e">
        <f t="shared" si="1"/>
        <v>#VALUE!</v>
      </c>
    </row>
    <row r="95" spans="1:17" ht="13" x14ac:dyDescent="0.15">
      <c r="A95" s="86" t="s">
        <v>709</v>
      </c>
      <c r="B95" s="87" t="s">
        <v>710</v>
      </c>
      <c r="C95" s="217" t="s">
        <v>711</v>
      </c>
      <c r="D95" s="199"/>
      <c r="E95" s="199"/>
      <c r="F95" s="88"/>
      <c r="G95" s="89"/>
      <c r="H95" s="77"/>
      <c r="I95" s="86" t="s">
        <v>709</v>
      </c>
      <c r="J95" s="87" t="s">
        <v>710</v>
      </c>
      <c r="K95" s="78">
        <f>IF(F95="USD",D95*VLOOKUP(L95,'Kursy walut'!C:E,2,0),IF(F95="EUR",D95*VLOOKUP(L95,'Kursy walut'!C:E,3,0),D95))</f>
        <v>0</v>
      </c>
      <c r="L95" s="92"/>
      <c r="M95" s="80"/>
      <c r="N95" s="92"/>
      <c r="O95" s="82"/>
      <c r="P95" s="92"/>
      <c r="Q95" s="81"/>
    </row>
    <row r="96" spans="1:17" ht="13" x14ac:dyDescent="0.15">
      <c r="A96" s="73" t="s">
        <v>712</v>
      </c>
      <c r="B96" s="74" t="s">
        <v>438</v>
      </c>
      <c r="C96" s="83" t="s">
        <v>522</v>
      </c>
      <c r="D96" s="83" t="s">
        <v>523</v>
      </c>
      <c r="E96" s="83" t="s">
        <v>524</v>
      </c>
      <c r="F96" s="83" t="s">
        <v>86</v>
      </c>
      <c r="G96" s="76" t="s">
        <v>439</v>
      </c>
      <c r="H96" s="77"/>
      <c r="I96" s="73" t="s">
        <v>712</v>
      </c>
      <c r="J96" s="74" t="s">
        <v>438</v>
      </c>
      <c r="K96" s="78">
        <f>IF(F96="USD",D96*VLOOKUP(L96,'Kursy walut'!C:E,2,0),IF(F96="EUR",D96*VLOOKUP(L96,'Kursy walut'!C:E,3,0),D96))</f>
        <v>38246395.518799998</v>
      </c>
      <c r="L96" s="85" t="s">
        <v>439</v>
      </c>
      <c r="M96" s="80">
        <f>D96/VLOOKUP(F96,'Kursy walut'!C:E,2,0)</f>
        <v>36404</v>
      </c>
      <c r="N96" s="81" t="s">
        <v>86</v>
      </c>
      <c r="O96" s="82">
        <f>D96/VLOOKUP(F96,'Kursy walut'!C:E,3,0)</f>
        <v>37215.293396033536</v>
      </c>
      <c r="P96" s="81" t="s">
        <v>85</v>
      </c>
      <c r="Q96" s="81" t="e">
        <f t="shared" ref="Q96:Q118" si="2">RANK(O96,O$2:O$118,1)</f>
        <v>#VALUE!</v>
      </c>
    </row>
    <row r="97" spans="1:17" ht="13" x14ac:dyDescent="0.15">
      <c r="A97" s="73" t="s">
        <v>59</v>
      </c>
      <c r="B97" s="74" t="s">
        <v>163</v>
      </c>
      <c r="C97" s="83" t="s">
        <v>713</v>
      </c>
      <c r="D97" s="83" t="s">
        <v>695</v>
      </c>
      <c r="E97" s="83" t="s">
        <v>714</v>
      </c>
      <c r="F97" s="83" t="s">
        <v>164</v>
      </c>
      <c r="G97" s="76" t="s">
        <v>164</v>
      </c>
      <c r="H97" s="77"/>
      <c r="I97" s="73" t="s">
        <v>59</v>
      </c>
      <c r="J97" s="74" t="s">
        <v>163</v>
      </c>
      <c r="K97" s="78" t="str">
        <f>IF(F97="USD",D97*VLOOKUP(L97,'Kursy walut'!C:E,2,0),IF(F97="EUR",D97*VLOOKUP(L97,'Kursy walut'!C:E,3,0),D97))</f>
        <v>43.00</v>
      </c>
      <c r="L97" s="79" t="s">
        <v>164</v>
      </c>
      <c r="M97" s="80" t="e">
        <f>D97/VLOOKUP(F97,'Kursy walut'!C:E,2,0)</f>
        <v>#VALUE!</v>
      </c>
      <c r="N97" s="81" t="s">
        <v>86</v>
      </c>
      <c r="O97" s="82" t="e">
        <f>D97/VLOOKUP(F97,'Kursy walut'!C:E,3,0)</f>
        <v>#VALUE!</v>
      </c>
      <c r="P97" s="81" t="s">
        <v>85</v>
      </c>
      <c r="Q97" s="81" t="e">
        <f t="shared" si="2"/>
        <v>#VALUE!</v>
      </c>
    </row>
    <row r="98" spans="1:17" ht="13" x14ac:dyDescent="0.15">
      <c r="A98" s="73" t="s">
        <v>36</v>
      </c>
      <c r="B98" s="74" t="s">
        <v>175</v>
      </c>
      <c r="C98" s="83" t="s">
        <v>715</v>
      </c>
      <c r="D98" s="83" t="s">
        <v>716</v>
      </c>
      <c r="E98" s="83" t="s">
        <v>717</v>
      </c>
      <c r="F98" s="83" t="s">
        <v>176</v>
      </c>
      <c r="G98" s="76" t="s">
        <v>176</v>
      </c>
      <c r="H98" s="77"/>
      <c r="I98" s="73" t="s">
        <v>36</v>
      </c>
      <c r="J98" s="74" t="s">
        <v>175</v>
      </c>
      <c r="K98" s="78" t="str">
        <f>IF(F98="USD",D98*VLOOKUP(L98,'Kursy walut'!C:E,2,0),IF(F98="EUR",D98*VLOOKUP(L98,'Kursy walut'!C:E,3,0),D98))</f>
        <v>129.00</v>
      </c>
      <c r="L98" s="79" t="s">
        <v>176</v>
      </c>
      <c r="M98" s="80" t="e">
        <f>D98/VLOOKUP(F98,'Kursy walut'!C:E,2,0)</f>
        <v>#VALUE!</v>
      </c>
      <c r="N98" s="81" t="s">
        <v>86</v>
      </c>
      <c r="O98" s="82" t="e">
        <f>D98/VLOOKUP(F98,'Kursy walut'!C:E,3,0)</f>
        <v>#VALUE!</v>
      </c>
      <c r="P98" s="81" t="s">
        <v>85</v>
      </c>
      <c r="Q98" s="81" t="e">
        <f t="shared" si="2"/>
        <v>#VALUE!</v>
      </c>
    </row>
    <row r="99" spans="1:17" ht="13" x14ac:dyDescent="0.15">
      <c r="A99" s="73" t="s">
        <v>61</v>
      </c>
      <c r="B99" s="74" t="s">
        <v>167</v>
      </c>
      <c r="C99" s="83" t="s">
        <v>718</v>
      </c>
      <c r="D99" s="83" t="s">
        <v>719</v>
      </c>
      <c r="E99" s="83" t="s">
        <v>720</v>
      </c>
      <c r="F99" s="83" t="s">
        <v>168</v>
      </c>
      <c r="G99" s="76" t="s">
        <v>168</v>
      </c>
      <c r="H99" s="77"/>
      <c r="I99" s="73" t="s">
        <v>61</v>
      </c>
      <c r="J99" s="74" t="s">
        <v>167</v>
      </c>
      <c r="K99" s="78" t="str">
        <f>IF(F99="USD",D99*VLOOKUP(L99,'Kursy walut'!C:E,2,0),IF(F99="EUR",D99*VLOOKUP(L99,'Kursy walut'!C:E,3,0),D99))</f>
        <v>17.48</v>
      </c>
      <c r="L99" s="79" t="s">
        <v>168</v>
      </c>
      <c r="M99" s="80" t="e">
        <f>D99/VLOOKUP(F99,'Kursy walut'!C:E,2,0)</f>
        <v>#VALUE!</v>
      </c>
      <c r="N99" s="81" t="s">
        <v>86</v>
      </c>
      <c r="O99" s="82" t="e">
        <f>D99/VLOOKUP(F99,'Kursy walut'!C:E,3,0)</f>
        <v>#VALUE!</v>
      </c>
      <c r="P99" s="81" t="s">
        <v>85</v>
      </c>
      <c r="Q99" s="81" t="e">
        <f t="shared" si="2"/>
        <v>#VALUE!</v>
      </c>
    </row>
    <row r="100" spans="1:17" ht="13" x14ac:dyDescent="0.15">
      <c r="A100" s="73" t="s">
        <v>721</v>
      </c>
      <c r="B100" s="74" t="s">
        <v>722</v>
      </c>
      <c r="C100" s="83" t="s">
        <v>526</v>
      </c>
      <c r="D100" s="83" t="s">
        <v>523</v>
      </c>
      <c r="E100" s="83" t="s">
        <v>527</v>
      </c>
      <c r="F100" s="75" t="s">
        <v>85</v>
      </c>
      <c r="G100" s="76" t="s">
        <v>85</v>
      </c>
      <c r="H100" s="77"/>
      <c r="I100" s="73" t="s">
        <v>721</v>
      </c>
      <c r="J100" s="74" t="s">
        <v>722</v>
      </c>
      <c r="K100" s="78">
        <f>IF(F100="USD",D100*VLOOKUP(L100,'Kursy walut'!C:E,2,0),IF(F100="EUR",D100*VLOOKUP(L100,'Kursy walut'!C:E,3,0),D100))</f>
        <v>36404</v>
      </c>
      <c r="L100" s="79" t="s">
        <v>85</v>
      </c>
      <c r="M100" s="80">
        <f>D100/VLOOKUP(F100,'Kursy walut'!C:E,2,0)</f>
        <v>35609.899246796442</v>
      </c>
      <c r="N100" s="81" t="s">
        <v>86</v>
      </c>
      <c r="O100" s="82">
        <f>D100/VLOOKUP(F100,'Kursy walut'!C:E,3,0)</f>
        <v>36404</v>
      </c>
      <c r="P100" s="81" t="s">
        <v>85</v>
      </c>
      <c r="Q100" s="81" t="e">
        <f t="shared" si="2"/>
        <v>#VALUE!</v>
      </c>
    </row>
    <row r="101" spans="1:17" ht="13" x14ac:dyDescent="0.15">
      <c r="A101" s="73" t="s">
        <v>47</v>
      </c>
      <c r="B101" s="74" t="s">
        <v>169</v>
      </c>
      <c r="C101" s="83" t="s">
        <v>526</v>
      </c>
      <c r="D101" s="83" t="s">
        <v>523</v>
      </c>
      <c r="E101" s="83" t="s">
        <v>527</v>
      </c>
      <c r="F101" s="75" t="s">
        <v>85</v>
      </c>
      <c r="G101" s="76" t="s">
        <v>85</v>
      </c>
      <c r="H101" s="77"/>
      <c r="I101" s="73" t="s">
        <v>47</v>
      </c>
      <c r="J101" s="74" t="s">
        <v>169</v>
      </c>
      <c r="K101" s="78">
        <f>IF(F101="USD",D101*VLOOKUP(L101,'Kursy walut'!C:E,2,0),IF(F101="EUR",D101*VLOOKUP(L101,'Kursy walut'!C:E,3,0),D101))</f>
        <v>36404</v>
      </c>
      <c r="L101" s="79" t="s">
        <v>85</v>
      </c>
      <c r="M101" s="80">
        <f>D101/VLOOKUP(F101,'Kursy walut'!C:E,2,0)</f>
        <v>35609.899246796442</v>
      </c>
      <c r="N101" s="81" t="s">
        <v>86</v>
      </c>
      <c r="O101" s="82">
        <f>D101/VLOOKUP(F101,'Kursy walut'!C:E,3,0)</f>
        <v>36404</v>
      </c>
      <c r="P101" s="81" t="s">
        <v>85</v>
      </c>
      <c r="Q101" s="81" t="e">
        <f t="shared" si="2"/>
        <v>#VALUE!</v>
      </c>
    </row>
    <row r="102" spans="1:17" ht="13" x14ac:dyDescent="0.15">
      <c r="A102" s="73" t="s">
        <v>723</v>
      </c>
      <c r="B102" s="74" t="s">
        <v>724</v>
      </c>
      <c r="C102" s="83" t="s">
        <v>522</v>
      </c>
      <c r="D102" s="83" t="s">
        <v>532</v>
      </c>
      <c r="E102" s="83" t="s">
        <v>543</v>
      </c>
      <c r="F102" s="83" t="s">
        <v>86</v>
      </c>
      <c r="G102" s="76" t="s">
        <v>86</v>
      </c>
      <c r="H102" s="77"/>
      <c r="I102" s="73" t="s">
        <v>723</v>
      </c>
      <c r="J102" s="74" t="s">
        <v>724</v>
      </c>
      <c r="K102" s="78">
        <f>IF(F102="USD",D102*VLOOKUP(L102,'Kursy walut'!C:E,2,0),IF(F102="EUR",D102*VLOOKUP(L102,'Kursy walut'!C:E,3,0),D102))</f>
        <v>36434</v>
      </c>
      <c r="L102" s="79" t="s">
        <v>86</v>
      </c>
      <c r="M102" s="80">
        <f>D102/VLOOKUP(F102,'Kursy walut'!C:E,2,0)</f>
        <v>36434</v>
      </c>
      <c r="N102" s="81" t="s">
        <v>86</v>
      </c>
      <c r="O102" s="82">
        <f>D102/VLOOKUP(F102,'Kursy walut'!C:E,3,0)</f>
        <v>37245.961970967081</v>
      </c>
      <c r="P102" s="81" t="s">
        <v>85</v>
      </c>
      <c r="Q102" s="81" t="e">
        <f t="shared" si="2"/>
        <v>#VALUE!</v>
      </c>
    </row>
    <row r="103" spans="1:17" ht="13" x14ac:dyDescent="0.15">
      <c r="A103" s="73" t="s">
        <v>78</v>
      </c>
      <c r="B103" s="74" t="s">
        <v>179</v>
      </c>
      <c r="C103" s="83" t="s">
        <v>725</v>
      </c>
      <c r="D103" s="83" t="s">
        <v>726</v>
      </c>
      <c r="E103" s="83" t="s">
        <v>727</v>
      </c>
      <c r="F103" s="83" t="s">
        <v>180</v>
      </c>
      <c r="G103" s="76" t="s">
        <v>180</v>
      </c>
      <c r="H103" s="77"/>
      <c r="I103" s="73" t="s">
        <v>78</v>
      </c>
      <c r="J103" s="74" t="s">
        <v>179</v>
      </c>
      <c r="K103" s="78" t="str">
        <f>IF(F103="USD",D103*VLOOKUP(L103,'Kursy walut'!C:E,2,0),IF(F103="EUR",D103*VLOOKUP(L103,'Kursy walut'!C:E,3,0),D103))</f>
        <v>349.00</v>
      </c>
      <c r="L103" s="79" t="s">
        <v>180</v>
      </c>
      <c r="M103" s="80" t="e">
        <f>D103/VLOOKUP(F103,'Kursy walut'!C:E,2,0)</f>
        <v>#VALUE!</v>
      </c>
      <c r="N103" s="81" t="s">
        <v>86</v>
      </c>
      <c r="O103" s="82" t="e">
        <f>D103/VLOOKUP(F103,'Kursy walut'!C:E,3,0)</f>
        <v>#VALUE!</v>
      </c>
      <c r="P103" s="81" t="s">
        <v>85</v>
      </c>
      <c r="Q103" s="81" t="e">
        <f t="shared" si="2"/>
        <v>#VALUE!</v>
      </c>
    </row>
    <row r="104" spans="1:17" ht="13" x14ac:dyDescent="0.15">
      <c r="A104" s="73" t="s">
        <v>728</v>
      </c>
      <c r="B104" s="74" t="s">
        <v>729</v>
      </c>
      <c r="C104" s="83" t="s">
        <v>600</v>
      </c>
      <c r="D104" s="83" t="s">
        <v>601</v>
      </c>
      <c r="E104" s="83" t="s">
        <v>576</v>
      </c>
      <c r="F104" s="83" t="s">
        <v>85</v>
      </c>
      <c r="G104" s="76" t="s">
        <v>459</v>
      </c>
      <c r="H104" s="77"/>
      <c r="I104" s="73" t="s">
        <v>728</v>
      </c>
      <c r="J104" s="74" t="s">
        <v>729</v>
      </c>
      <c r="K104" s="78">
        <f>IF(F104="USD",D104*VLOOKUP(L104,'Kursy walut'!C:E,2,0),IF(F104="EUR",D104*VLOOKUP(L104,'Kursy walut'!C:E,3,0),D104))</f>
        <v>285738.83999999997</v>
      </c>
      <c r="L104" s="85" t="s">
        <v>459</v>
      </c>
      <c r="M104" s="80">
        <f>D104/VLOOKUP(F104,'Kursy walut'!C:E,2,0)</f>
        <v>28523.916658515114</v>
      </c>
      <c r="N104" s="81" t="s">
        <v>86</v>
      </c>
      <c r="O104" s="82">
        <f>D104/VLOOKUP(F104,'Kursy walut'!C:E,3,0)</f>
        <v>29160</v>
      </c>
      <c r="P104" s="81" t="s">
        <v>85</v>
      </c>
      <c r="Q104" s="81" t="e">
        <f t="shared" si="2"/>
        <v>#VALUE!</v>
      </c>
    </row>
    <row r="105" spans="1:17" ht="13" x14ac:dyDescent="0.15">
      <c r="A105" s="73" t="s">
        <v>730</v>
      </c>
      <c r="B105" s="74" t="s">
        <v>731</v>
      </c>
      <c r="C105" s="83" t="s">
        <v>522</v>
      </c>
      <c r="D105" s="83" t="s">
        <v>523</v>
      </c>
      <c r="E105" s="83" t="s">
        <v>524</v>
      </c>
      <c r="F105" s="83" t="s">
        <v>86</v>
      </c>
      <c r="G105" s="76" t="s">
        <v>465</v>
      </c>
      <c r="H105" s="77"/>
      <c r="I105" s="73" t="s">
        <v>730</v>
      </c>
      <c r="J105" s="74" t="s">
        <v>731</v>
      </c>
      <c r="K105" s="78">
        <f>IF(F105="USD",D105*VLOOKUP(L105,'Kursy walut'!C:E,2,0),IF(F105="EUR",D105*VLOOKUP(L105,'Kursy walut'!C:E,3,0),D105))</f>
        <v>118855.41959999999</v>
      </c>
      <c r="L105" s="85" t="s">
        <v>465</v>
      </c>
      <c r="M105" s="80">
        <f>D105/VLOOKUP(F105,'Kursy walut'!C:E,2,0)</f>
        <v>36404</v>
      </c>
      <c r="N105" s="81" t="s">
        <v>86</v>
      </c>
      <c r="O105" s="82">
        <f>D105/VLOOKUP(F105,'Kursy walut'!C:E,3,0)</f>
        <v>37215.293396033536</v>
      </c>
      <c r="P105" s="81" t="s">
        <v>85</v>
      </c>
      <c r="Q105" s="81" t="e">
        <f t="shared" si="2"/>
        <v>#VALUE!</v>
      </c>
    </row>
    <row r="106" spans="1:17" ht="13" x14ac:dyDescent="0.15">
      <c r="A106" s="73" t="s">
        <v>84</v>
      </c>
      <c r="B106" s="74" t="s">
        <v>181</v>
      </c>
      <c r="C106" s="83" t="s">
        <v>732</v>
      </c>
      <c r="D106" s="83" t="s">
        <v>733</v>
      </c>
      <c r="E106" s="83" t="s">
        <v>734</v>
      </c>
      <c r="F106" s="83" t="s">
        <v>182</v>
      </c>
      <c r="G106" s="76" t="s">
        <v>182</v>
      </c>
      <c r="H106" s="77"/>
      <c r="I106" s="73" t="s">
        <v>84</v>
      </c>
      <c r="J106" s="74" t="s">
        <v>181</v>
      </c>
      <c r="K106" s="78" t="str">
        <f>IF(F106="USD",D106*VLOOKUP(L106,'Kursy walut'!C:E,2,0),IF(F106="EUR",D106*VLOOKUP(L106,'Kursy walut'!C:E,3,0),D106))</f>
        <v>69.99</v>
      </c>
      <c r="L106" s="79" t="s">
        <v>182</v>
      </c>
      <c r="M106" s="80" t="e">
        <f>D106/VLOOKUP(F106,'Kursy walut'!C:E,2,0)</f>
        <v>#VALUE!</v>
      </c>
      <c r="N106" s="81" t="s">
        <v>86</v>
      </c>
      <c r="O106" s="82" t="e">
        <f>D106/VLOOKUP(F106,'Kursy walut'!C:E,3,0)</f>
        <v>#VALUE!</v>
      </c>
      <c r="P106" s="81" t="s">
        <v>85</v>
      </c>
      <c r="Q106" s="81" t="e">
        <f t="shared" si="2"/>
        <v>#VALUE!</v>
      </c>
    </row>
    <row r="107" spans="1:17" ht="13" x14ac:dyDescent="0.15">
      <c r="A107" s="73" t="s">
        <v>735</v>
      </c>
      <c r="B107" s="74" t="s">
        <v>736</v>
      </c>
      <c r="C107" s="83" t="s">
        <v>737</v>
      </c>
      <c r="D107" s="83" t="s">
        <v>738</v>
      </c>
      <c r="E107" s="83" t="s">
        <v>739</v>
      </c>
      <c r="F107" s="83" t="s">
        <v>470</v>
      </c>
      <c r="G107" s="76" t="s">
        <v>470</v>
      </c>
      <c r="H107" s="77"/>
      <c r="I107" s="73" t="s">
        <v>735</v>
      </c>
      <c r="J107" s="74" t="s">
        <v>736</v>
      </c>
      <c r="K107" s="78" t="str">
        <f>IF(F107="USD",D107*VLOOKUP(L107,'Kursy walut'!C:E,2,0),IF(F107="EUR",D107*VLOOKUP(L107,'Kursy walut'!C:E,3,0),D107))</f>
        <v>330.00</v>
      </c>
      <c r="L107" s="79" t="s">
        <v>470</v>
      </c>
      <c r="M107" s="80" t="e">
        <f>D107/VLOOKUP(F107,'Kursy walut'!C:E,2,0)</f>
        <v>#VALUE!</v>
      </c>
      <c r="N107" s="81" t="s">
        <v>86</v>
      </c>
      <c r="O107" s="82" t="e">
        <f>D107/VLOOKUP(F107,'Kursy walut'!C:E,3,0)</f>
        <v>#VALUE!</v>
      </c>
      <c r="P107" s="81" t="s">
        <v>85</v>
      </c>
      <c r="Q107" s="81" t="e">
        <f t="shared" si="2"/>
        <v>#VALUE!</v>
      </c>
    </row>
    <row r="108" spans="1:17" ht="13" x14ac:dyDescent="0.15">
      <c r="A108" s="73" t="s">
        <v>740</v>
      </c>
      <c r="B108" s="74" t="s">
        <v>472</v>
      </c>
      <c r="C108" s="83" t="s">
        <v>522</v>
      </c>
      <c r="D108" s="83" t="s">
        <v>523</v>
      </c>
      <c r="E108" s="83" t="s">
        <v>524</v>
      </c>
      <c r="F108" s="83" t="s">
        <v>86</v>
      </c>
      <c r="G108" s="76" t="s">
        <v>473</v>
      </c>
      <c r="H108" s="77"/>
      <c r="I108" s="73" t="s">
        <v>740</v>
      </c>
      <c r="J108" s="74" t="s">
        <v>472</v>
      </c>
      <c r="K108" s="78">
        <f>IF(F108="USD",D108*VLOOKUP(L108,'Kursy walut'!C:E,2,0),IF(F108="EUR",D108*VLOOKUP(L108,'Kursy walut'!C:E,3,0),D108))</f>
        <v>84929778.437199995</v>
      </c>
      <c r="L108" s="85" t="s">
        <v>473</v>
      </c>
      <c r="M108" s="80">
        <f>D108/VLOOKUP(F108,'Kursy walut'!C:E,2,0)</f>
        <v>36404</v>
      </c>
      <c r="N108" s="81" t="s">
        <v>86</v>
      </c>
      <c r="O108" s="82">
        <f>D108/VLOOKUP(F108,'Kursy walut'!C:E,3,0)</f>
        <v>37215.293396033536</v>
      </c>
      <c r="P108" s="81" t="s">
        <v>85</v>
      </c>
      <c r="Q108" s="81" t="e">
        <f t="shared" si="2"/>
        <v>#VALUE!</v>
      </c>
    </row>
    <row r="109" spans="1:17" ht="13" x14ac:dyDescent="0.15">
      <c r="A109" s="73" t="s">
        <v>62</v>
      </c>
      <c r="B109" s="74" t="s">
        <v>185</v>
      </c>
      <c r="C109" s="83" t="s">
        <v>741</v>
      </c>
      <c r="D109" s="83" t="s">
        <v>742</v>
      </c>
      <c r="E109" s="83" t="s">
        <v>743</v>
      </c>
      <c r="F109" s="83" t="s">
        <v>85</v>
      </c>
      <c r="G109" s="76" t="s">
        <v>186</v>
      </c>
      <c r="H109" s="77"/>
      <c r="I109" s="73" t="s">
        <v>62</v>
      </c>
      <c r="J109" s="74" t="s">
        <v>185</v>
      </c>
      <c r="K109" s="78">
        <f>IF(F109="USD",D109*VLOOKUP(L109,'Kursy walut'!C:E,2,0),IF(F109="EUR",D109*VLOOKUP(L109,'Kursy walut'!C:E,3,0),D109))</f>
        <v>653026.0959999999</v>
      </c>
      <c r="L109" s="85" t="s">
        <v>186</v>
      </c>
      <c r="M109" s="80">
        <f>D109/VLOOKUP(F109,'Kursy walut'!C:E,2,0)</f>
        <v>17685.610877433239</v>
      </c>
      <c r="N109" s="81" t="s">
        <v>86</v>
      </c>
      <c r="O109" s="82">
        <f>D109/VLOOKUP(F109,'Kursy walut'!C:E,3,0)</f>
        <v>18080</v>
      </c>
      <c r="P109" s="81" t="s">
        <v>85</v>
      </c>
      <c r="Q109" s="81" t="e">
        <f t="shared" si="2"/>
        <v>#VALUE!</v>
      </c>
    </row>
    <row r="110" spans="1:17" ht="13" x14ac:dyDescent="0.15">
      <c r="A110" s="73" t="s">
        <v>744</v>
      </c>
      <c r="B110" s="74" t="s">
        <v>477</v>
      </c>
      <c r="C110" s="83" t="s">
        <v>522</v>
      </c>
      <c r="D110" s="83" t="s">
        <v>523</v>
      </c>
      <c r="E110" s="83" t="s">
        <v>524</v>
      </c>
      <c r="F110" s="83" t="s">
        <v>86</v>
      </c>
      <c r="G110" s="76" t="s">
        <v>478</v>
      </c>
      <c r="H110" s="77"/>
      <c r="I110" s="73" t="s">
        <v>744</v>
      </c>
      <c r="J110" s="74" t="s">
        <v>477</v>
      </c>
      <c r="K110" s="78">
        <f>IF(F110="USD",D110*VLOOKUP(L110,'Kursy walut'!C:E,2,0),IF(F110="EUR",D110*VLOOKUP(L110,'Kursy walut'!C:E,3,0),D110))</f>
        <v>139661175.65559998</v>
      </c>
      <c r="L110" s="85" t="s">
        <v>478</v>
      </c>
      <c r="M110" s="80">
        <f>D110/VLOOKUP(F110,'Kursy walut'!C:E,2,0)</f>
        <v>36404</v>
      </c>
      <c r="N110" s="81" t="s">
        <v>86</v>
      </c>
      <c r="O110" s="82">
        <f>D110/VLOOKUP(F110,'Kursy walut'!C:E,3,0)</f>
        <v>37215.293396033536</v>
      </c>
      <c r="P110" s="81" t="s">
        <v>85</v>
      </c>
      <c r="Q110" s="81" t="e">
        <f t="shared" si="2"/>
        <v>#VALUE!</v>
      </c>
    </row>
    <row r="111" spans="1:17" ht="13" x14ac:dyDescent="0.15">
      <c r="A111" s="73" t="s">
        <v>27</v>
      </c>
      <c r="B111" s="74" t="s">
        <v>187</v>
      </c>
      <c r="C111" s="95" t="s">
        <v>745</v>
      </c>
      <c r="D111" s="83" t="s">
        <v>532</v>
      </c>
      <c r="E111" s="83" t="s">
        <v>746</v>
      </c>
      <c r="F111" s="83" t="s">
        <v>188</v>
      </c>
      <c r="G111" s="76" t="s">
        <v>188</v>
      </c>
      <c r="H111" s="77"/>
      <c r="I111" s="73" t="s">
        <v>27</v>
      </c>
      <c r="J111" s="74" t="s">
        <v>187</v>
      </c>
      <c r="K111" s="78" t="str">
        <f>IF(F111="USD",D111*VLOOKUP(L111,'Kursy walut'!C:E,2,0),IF(F111="EUR",D111*VLOOKUP(L111,'Kursy walut'!C:E,3,0),D111))</f>
        <v>10.99</v>
      </c>
      <c r="L111" s="79" t="s">
        <v>188</v>
      </c>
      <c r="M111" s="80">
        <f>D111/VLOOKUP(F111,'Kursy walut'!C:E,2,0)</f>
        <v>40703.831974081106</v>
      </c>
      <c r="N111" s="81" t="s">
        <v>86</v>
      </c>
      <c r="O111" s="82">
        <f>D111/VLOOKUP(F111,'Kursy walut'!C:E,3,0)</f>
        <v>41331.820760068069</v>
      </c>
      <c r="P111" s="81" t="s">
        <v>85</v>
      </c>
      <c r="Q111" s="81" t="e">
        <f t="shared" si="2"/>
        <v>#VALUE!</v>
      </c>
    </row>
    <row r="112" spans="1:17" ht="13" x14ac:dyDescent="0.15">
      <c r="A112" s="73" t="s">
        <v>26</v>
      </c>
      <c r="B112" s="74" t="s">
        <v>189</v>
      </c>
      <c r="C112" s="83" t="s">
        <v>699</v>
      </c>
      <c r="D112" s="83" t="s">
        <v>700</v>
      </c>
      <c r="E112" s="83" t="s">
        <v>701</v>
      </c>
      <c r="F112" s="83" t="s">
        <v>86</v>
      </c>
      <c r="G112" s="76" t="s">
        <v>86</v>
      </c>
      <c r="H112" s="77"/>
      <c r="I112" s="73" t="s">
        <v>26</v>
      </c>
      <c r="J112" s="74" t="s">
        <v>189</v>
      </c>
      <c r="K112" s="78" t="e">
        <f>IF(F112="USD",D112*VLOOKUP(L112,'Kursy walut'!C:E,2,0),IF(F112="EUR",D112*VLOOKUP(L112,'Kursy walut'!C:E,3,0),D112))</f>
        <v>#VALUE!</v>
      </c>
      <c r="L112" s="79" t="s">
        <v>86</v>
      </c>
      <c r="M112" s="80" t="e">
        <f>D112/VLOOKUP(F112,'Kursy walut'!C:E,2,0)</f>
        <v>#VALUE!</v>
      </c>
      <c r="N112" s="81" t="s">
        <v>86</v>
      </c>
      <c r="O112" s="82" t="e">
        <f>D112/VLOOKUP(F112,'Kursy walut'!C:E,3,0)</f>
        <v>#VALUE!</v>
      </c>
      <c r="P112" s="81" t="s">
        <v>85</v>
      </c>
      <c r="Q112" s="81" t="e">
        <f t="shared" si="2"/>
        <v>#VALUE!</v>
      </c>
    </row>
    <row r="113" spans="1:17" ht="13" x14ac:dyDescent="0.15">
      <c r="A113" s="73" t="s">
        <v>747</v>
      </c>
      <c r="B113" s="74" t="s">
        <v>748</v>
      </c>
      <c r="C113" s="83" t="s">
        <v>570</v>
      </c>
      <c r="D113" s="83" t="s">
        <v>514</v>
      </c>
      <c r="E113" s="83" t="s">
        <v>571</v>
      </c>
      <c r="F113" s="83" t="s">
        <v>86</v>
      </c>
      <c r="G113" s="76" t="s">
        <v>485</v>
      </c>
      <c r="H113" s="77"/>
      <c r="I113" s="73" t="s">
        <v>747</v>
      </c>
      <c r="J113" s="74" t="s">
        <v>748</v>
      </c>
      <c r="K113" s="78">
        <f>IF(F113="USD",D113*VLOOKUP(L113,'Kursy walut'!C:E,2,0),IF(F113="EUR",D113*VLOOKUP(L113,'Kursy walut'!C:E,3,0),D113))</f>
        <v>1505061.0990000002</v>
      </c>
      <c r="L113" s="85" t="s">
        <v>485</v>
      </c>
      <c r="M113" s="80">
        <f>D113/VLOOKUP(F113,'Kursy walut'!C:E,2,0)</f>
        <v>36495</v>
      </c>
      <c r="N113" s="81" t="s">
        <v>86</v>
      </c>
      <c r="O113" s="82">
        <f>D113/VLOOKUP(F113,'Kursy walut'!C:E,3,0)</f>
        <v>37308.321406665302</v>
      </c>
      <c r="P113" s="81" t="s">
        <v>85</v>
      </c>
      <c r="Q113" s="81" t="e">
        <f t="shared" si="2"/>
        <v>#VALUE!</v>
      </c>
    </row>
    <row r="114" spans="1:17" ht="13" x14ac:dyDescent="0.15">
      <c r="A114" s="73" t="s">
        <v>749</v>
      </c>
      <c r="B114" s="74" t="s">
        <v>487</v>
      </c>
      <c r="C114" s="83" t="s">
        <v>526</v>
      </c>
      <c r="D114" s="83" t="s">
        <v>523</v>
      </c>
      <c r="E114" s="83" t="s">
        <v>527</v>
      </c>
      <c r="F114" s="83" t="s">
        <v>85</v>
      </c>
      <c r="G114" s="76" t="s">
        <v>488</v>
      </c>
      <c r="H114" s="77"/>
      <c r="I114" s="73" t="s">
        <v>749</v>
      </c>
      <c r="J114" s="74" t="s">
        <v>487</v>
      </c>
      <c r="K114" s="78">
        <f>IF(F114="USD",D114*VLOOKUP(L114,'Kursy walut'!C:E,2,0),IF(F114="EUR",D114*VLOOKUP(L114,'Kursy walut'!C:E,3,0),D114))</f>
        <v>393374099.29319996</v>
      </c>
      <c r="L114" s="85" t="s">
        <v>488</v>
      </c>
      <c r="M114" s="80">
        <f>D114/VLOOKUP(F114,'Kursy walut'!C:E,2,0)</f>
        <v>35609.899246796442</v>
      </c>
      <c r="N114" s="81" t="s">
        <v>86</v>
      </c>
      <c r="O114" s="82">
        <f>D114/VLOOKUP(F114,'Kursy walut'!C:E,3,0)</f>
        <v>36404</v>
      </c>
      <c r="P114" s="81" t="s">
        <v>85</v>
      </c>
      <c r="Q114" s="81" t="e">
        <f t="shared" si="2"/>
        <v>#VALUE!</v>
      </c>
    </row>
    <row r="115" spans="1:17" ht="13" x14ac:dyDescent="0.15">
      <c r="A115" s="73" t="s">
        <v>750</v>
      </c>
      <c r="B115" s="74" t="s">
        <v>751</v>
      </c>
      <c r="C115" s="83" t="s">
        <v>522</v>
      </c>
      <c r="D115" s="83" t="s">
        <v>532</v>
      </c>
      <c r="E115" s="83" t="s">
        <v>543</v>
      </c>
      <c r="F115" s="83" t="s">
        <v>86</v>
      </c>
      <c r="G115" s="96" t="s">
        <v>491</v>
      </c>
      <c r="H115" s="77"/>
      <c r="I115" s="73" t="s">
        <v>750</v>
      </c>
      <c r="J115" s="74" t="s">
        <v>751</v>
      </c>
      <c r="K115" s="78">
        <f>IF(F115="USD",D115*VLOOKUP(L115,'Kursy walut'!C:E,2,0),IF(F115="EUR",D115*VLOOKUP(L115,'Kursy walut'!C:E,3,0),D115))</f>
        <v>298853.52840000001</v>
      </c>
      <c r="L115" s="97" t="s">
        <v>491</v>
      </c>
      <c r="M115" s="80">
        <f>D115/VLOOKUP(F115,'Kursy walut'!C:E,2,0)</f>
        <v>36434</v>
      </c>
      <c r="N115" s="81" t="s">
        <v>86</v>
      </c>
      <c r="O115" s="82">
        <f>D115/VLOOKUP(F115,'Kursy walut'!C:E,3,0)</f>
        <v>37245.961970967081</v>
      </c>
      <c r="P115" s="81" t="s">
        <v>85</v>
      </c>
      <c r="Q115" s="81" t="e">
        <f t="shared" si="2"/>
        <v>#VALUE!</v>
      </c>
    </row>
    <row r="116" spans="1:17" ht="13" x14ac:dyDescent="0.15">
      <c r="A116" s="73" t="s">
        <v>79</v>
      </c>
      <c r="B116" s="74" t="s">
        <v>190</v>
      </c>
      <c r="C116" s="83" t="s">
        <v>752</v>
      </c>
      <c r="D116" s="83" t="s">
        <v>753</v>
      </c>
      <c r="E116" s="83" t="s">
        <v>754</v>
      </c>
      <c r="F116" s="83" t="s">
        <v>191</v>
      </c>
      <c r="G116" s="76" t="s">
        <v>191</v>
      </c>
      <c r="H116" s="77"/>
      <c r="I116" s="73" t="s">
        <v>79</v>
      </c>
      <c r="J116" s="74" t="s">
        <v>190</v>
      </c>
      <c r="K116" s="78" t="str">
        <f>IF(F116="USD",D116*VLOOKUP(L116,'Kursy walut'!C:E,2,0),IF(F116="EUR",D116*VLOOKUP(L116,'Kursy walut'!C:E,3,0),D116))</f>
        <v>220,000.00</v>
      </c>
      <c r="L116" s="79" t="s">
        <v>191</v>
      </c>
      <c r="M116" s="80" t="e">
        <f>D116/VLOOKUP(F116,'Kursy walut'!C:E,2,0)</f>
        <v>#VALUE!</v>
      </c>
      <c r="N116" s="81" t="s">
        <v>86</v>
      </c>
      <c r="O116" s="82" t="e">
        <f>D116/VLOOKUP(F116,'Kursy walut'!C:E,3,0)</f>
        <v>#VALUE!</v>
      </c>
      <c r="P116" s="81" t="s">
        <v>85</v>
      </c>
      <c r="Q116" s="81" t="e">
        <f t="shared" si="2"/>
        <v>#VALUE!</v>
      </c>
    </row>
    <row r="117" spans="1:17" ht="13" x14ac:dyDescent="0.15">
      <c r="A117" s="73" t="s">
        <v>75</v>
      </c>
      <c r="B117" s="74" t="s">
        <v>170</v>
      </c>
      <c r="C117" s="83" t="s">
        <v>755</v>
      </c>
      <c r="D117" s="83" t="s">
        <v>756</v>
      </c>
      <c r="E117" s="83" t="s">
        <v>757</v>
      </c>
      <c r="F117" s="83" t="s">
        <v>171</v>
      </c>
      <c r="G117" s="76" t="s">
        <v>171</v>
      </c>
      <c r="H117" s="77"/>
      <c r="I117" s="73" t="s">
        <v>75</v>
      </c>
      <c r="J117" s="74" t="s">
        <v>170</v>
      </c>
      <c r="K117" s="78" t="str">
        <f>IF(F117="USD",D117*VLOOKUP(L117,'Kursy walut'!C:E,2,0),IF(F117="EUR",D117*VLOOKUP(L117,'Kursy walut'!C:E,3,0),D117))</f>
        <v>159.00</v>
      </c>
      <c r="L117" s="79" t="s">
        <v>171</v>
      </c>
      <c r="M117" s="80" t="e">
        <f>D117/VLOOKUP(F117,'Kursy walut'!C:E,2,0)</f>
        <v>#VALUE!</v>
      </c>
      <c r="N117" s="81" t="s">
        <v>86</v>
      </c>
      <c r="O117" s="82" t="e">
        <f>D117/VLOOKUP(F117,'Kursy walut'!C:E,3,0)</f>
        <v>#VALUE!</v>
      </c>
      <c r="P117" s="81" t="s">
        <v>85</v>
      </c>
      <c r="Q117" s="81" t="e">
        <f t="shared" si="2"/>
        <v>#VALUE!</v>
      </c>
    </row>
    <row r="118" spans="1:17" ht="13" x14ac:dyDescent="0.15">
      <c r="A118" s="73" t="s">
        <v>758</v>
      </c>
      <c r="B118" s="74" t="s">
        <v>497</v>
      </c>
      <c r="C118" s="83" t="s">
        <v>759</v>
      </c>
      <c r="D118" s="83" t="s">
        <v>760</v>
      </c>
      <c r="E118" s="83" t="s">
        <v>543</v>
      </c>
      <c r="F118" s="83" t="s">
        <v>86</v>
      </c>
      <c r="G118" s="76" t="s">
        <v>498</v>
      </c>
      <c r="H118" s="77"/>
      <c r="I118" s="73" t="s">
        <v>758</v>
      </c>
      <c r="J118" s="74" t="s">
        <v>497</v>
      </c>
      <c r="K118" s="78">
        <f>IF(F118="USD",D118*VLOOKUP(L118,'Kursy walut'!C:E,2,0),IF(F118="EUR",D118*VLOOKUP(L118,'Kursy walut'!C:E,3,0),D118))</f>
        <v>346076.11050000001</v>
      </c>
      <c r="L118" s="85" t="s">
        <v>498</v>
      </c>
      <c r="M118" s="80">
        <f>D118/VLOOKUP(F118,'Kursy walut'!C:E,2,0)</f>
        <v>21855</v>
      </c>
      <c r="N118" s="81" t="s">
        <v>86</v>
      </c>
      <c r="O118" s="82">
        <f>D118/VLOOKUP(F118,'Kursy walut'!C:E,3,0)</f>
        <v>22342.056839092213</v>
      </c>
      <c r="P118" s="81" t="s">
        <v>85</v>
      </c>
      <c r="Q118" s="81" t="e">
        <f t="shared" si="2"/>
        <v>#VALUE!</v>
      </c>
    </row>
  </sheetData>
  <autoFilter ref="A1:Q118" xr:uid="{00000000-0009-0000-0000-000007000000}"/>
  <mergeCells count="2">
    <mergeCell ref="C22:E22"/>
    <mergeCell ref="C95:E95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O11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12.6640625" defaultRowHeight="15.75" customHeight="1" x14ac:dyDescent="0.15"/>
  <cols>
    <col min="1" max="1" width="6.6640625" customWidth="1"/>
    <col min="6" max="6" width="11" customWidth="1"/>
    <col min="8" max="8" width="24.33203125" customWidth="1"/>
  </cols>
  <sheetData>
    <row r="1" spans="1:15" ht="15.75" customHeight="1" x14ac:dyDescent="0.15">
      <c r="A1" s="66" t="s">
        <v>501</v>
      </c>
      <c r="B1" s="66" t="s">
        <v>502</v>
      </c>
      <c r="C1" s="66" t="s">
        <v>503</v>
      </c>
      <c r="D1" s="1" t="s">
        <v>504</v>
      </c>
      <c r="E1" s="1" t="s">
        <v>505</v>
      </c>
      <c r="F1" s="2" t="s">
        <v>506</v>
      </c>
      <c r="G1" s="67" t="s">
        <v>507</v>
      </c>
      <c r="H1" s="68" t="s">
        <v>761</v>
      </c>
      <c r="I1" s="98" t="s">
        <v>508</v>
      </c>
      <c r="J1" s="70" t="s">
        <v>509</v>
      </c>
      <c r="K1" s="71" t="s">
        <v>510</v>
      </c>
      <c r="L1" s="70" t="s">
        <v>86</v>
      </c>
      <c r="M1" s="72" t="s">
        <v>510</v>
      </c>
      <c r="N1" s="70" t="s">
        <v>85</v>
      </c>
      <c r="O1" s="70" t="s">
        <v>11</v>
      </c>
    </row>
    <row r="2" spans="1:15" ht="15.75" customHeight="1" x14ac:dyDescent="0.15">
      <c r="A2" s="73" t="s">
        <v>511</v>
      </c>
      <c r="B2" s="74" t="s">
        <v>512</v>
      </c>
      <c r="C2" s="75" t="s">
        <v>513</v>
      </c>
      <c r="D2" s="75" t="s">
        <v>514</v>
      </c>
      <c r="E2" s="75" t="s">
        <v>515</v>
      </c>
      <c r="F2" s="75" t="s">
        <v>85</v>
      </c>
      <c r="G2" s="99" t="s">
        <v>85</v>
      </c>
      <c r="H2" s="100">
        <f t="shared" ref="H2:H116" si="0">IF(F2=G2,1,0)</f>
        <v>1</v>
      </c>
      <c r="I2" s="78">
        <f>IF(F2="USD",D2*VLOOKUP(J2,'Kursy walut'!C:E,2,0),IF(F2="EUR",D2*VLOOKUP(J2,'Kursy walut'!C:E,3,0),D2))</f>
        <v>36495</v>
      </c>
      <c r="J2" s="79" t="s">
        <v>85</v>
      </c>
      <c r="K2" s="80">
        <f>D2/VLOOKUP(F2,'Kursy walut'!C:E,2,0)</f>
        <v>35698.914213049007</v>
      </c>
      <c r="L2" s="81" t="s">
        <v>86</v>
      </c>
      <c r="M2" s="82">
        <f>D2/VLOOKUP(F2,'Kursy walut'!C:E,3,0)</f>
        <v>36495</v>
      </c>
      <c r="N2" s="81" t="s">
        <v>85</v>
      </c>
      <c r="O2" s="81" t="e">
        <f t="shared" ref="O2:O116" si="1">RANK(M2,M$2:M$116,1)</f>
        <v>#VALUE!</v>
      </c>
    </row>
    <row r="3" spans="1:15" ht="15.75" customHeight="1" x14ac:dyDescent="0.15">
      <c r="A3" s="73" t="s">
        <v>69</v>
      </c>
      <c r="B3" s="74" t="s">
        <v>516</v>
      </c>
      <c r="C3" s="83" t="s">
        <v>517</v>
      </c>
      <c r="D3" s="83" t="s">
        <v>518</v>
      </c>
      <c r="E3" s="83" t="s">
        <v>519</v>
      </c>
      <c r="F3" s="83" t="s">
        <v>184</v>
      </c>
      <c r="G3" s="99" t="s">
        <v>184</v>
      </c>
      <c r="H3" s="100">
        <f t="shared" si="0"/>
        <v>1</v>
      </c>
      <c r="I3" s="78" t="str">
        <f>IF(F3="USD",D3*VLOOKUP(J3,'Kursy walut'!C:E,2,0),IF(F3="EUR",D3*VLOOKUP(J3,'Kursy walut'!C:E,3,0),D3))</f>
        <v>39.00</v>
      </c>
      <c r="J3" s="79" t="s">
        <v>184</v>
      </c>
      <c r="K3" s="80" t="e">
        <f>D3/VLOOKUP(F3,'Kursy walut'!C:E,2,0)</f>
        <v>#VALUE!</v>
      </c>
      <c r="L3" s="81" t="s">
        <v>86</v>
      </c>
      <c r="M3" s="82" t="e">
        <f>D3/VLOOKUP(F3,'Kursy walut'!C:E,3,0)</f>
        <v>#VALUE!</v>
      </c>
      <c r="N3" s="81" t="s">
        <v>85</v>
      </c>
      <c r="O3" s="81" t="e">
        <f t="shared" si="1"/>
        <v>#VALUE!</v>
      </c>
    </row>
    <row r="4" spans="1:15" ht="15.75" customHeight="1" x14ac:dyDescent="0.15">
      <c r="A4" s="73" t="s">
        <v>520</v>
      </c>
      <c r="B4" s="84" t="s">
        <v>521</v>
      </c>
      <c r="C4" s="75" t="s">
        <v>522</v>
      </c>
      <c r="D4" s="75" t="s">
        <v>523</v>
      </c>
      <c r="E4" s="75" t="s">
        <v>524</v>
      </c>
      <c r="F4" s="75" t="s">
        <v>86</v>
      </c>
      <c r="G4" s="99" t="s">
        <v>525</v>
      </c>
      <c r="H4" s="100">
        <f t="shared" si="0"/>
        <v>0</v>
      </c>
      <c r="I4" s="78"/>
      <c r="J4" s="85" t="s">
        <v>525</v>
      </c>
      <c r="K4" s="80">
        <f>D4/VLOOKUP(F4,'Kursy walut'!C:E,2,0)</f>
        <v>36404</v>
      </c>
      <c r="L4" s="81" t="s">
        <v>86</v>
      </c>
      <c r="M4" s="82">
        <f>D4/VLOOKUP(F4,'Kursy walut'!C:E,3,0)</f>
        <v>37215.293396033536</v>
      </c>
      <c r="N4" s="81" t="s">
        <v>85</v>
      </c>
      <c r="O4" s="81" t="e">
        <f t="shared" si="1"/>
        <v>#VALUE!</v>
      </c>
    </row>
    <row r="5" spans="1:15" ht="15.75" customHeight="1" x14ac:dyDescent="0.15">
      <c r="A5" s="73" t="s">
        <v>52</v>
      </c>
      <c r="B5" s="74" t="s">
        <v>88</v>
      </c>
      <c r="C5" s="75" t="s">
        <v>526</v>
      </c>
      <c r="D5" s="75" t="s">
        <v>523</v>
      </c>
      <c r="E5" s="75" t="s">
        <v>527</v>
      </c>
      <c r="F5" s="75" t="s">
        <v>85</v>
      </c>
      <c r="G5" s="99" t="s">
        <v>89</v>
      </c>
      <c r="H5" s="100">
        <f t="shared" si="0"/>
        <v>0</v>
      </c>
      <c r="I5" s="78">
        <f>IF(F5="USD",D5*VLOOKUP(J5,'Kursy walut'!C:E,2,0),IF(F5="EUR",D5*VLOOKUP(J5,'Kursy walut'!C:E,3,0),D5))</f>
        <v>4254874.0372000001</v>
      </c>
      <c r="J5" s="85" t="s">
        <v>89</v>
      </c>
      <c r="K5" s="80">
        <f>D5/VLOOKUP(F5,'Kursy walut'!C:E,2,0)</f>
        <v>35609.899246796442</v>
      </c>
      <c r="L5" s="81" t="s">
        <v>86</v>
      </c>
      <c r="M5" s="82">
        <f>D5/VLOOKUP(F5,'Kursy walut'!C:E,3,0)</f>
        <v>36404</v>
      </c>
      <c r="N5" s="81" t="s">
        <v>85</v>
      </c>
      <c r="O5" s="81" t="e">
        <f t="shared" si="1"/>
        <v>#VALUE!</v>
      </c>
    </row>
    <row r="6" spans="1:15" ht="15.75" customHeight="1" x14ac:dyDescent="0.15">
      <c r="A6" s="73" t="s">
        <v>528</v>
      </c>
      <c r="B6" s="74" t="s">
        <v>216</v>
      </c>
      <c r="C6" s="75" t="s">
        <v>526</v>
      </c>
      <c r="D6" s="75" t="s">
        <v>523</v>
      </c>
      <c r="E6" s="75" t="s">
        <v>527</v>
      </c>
      <c r="F6" s="75" t="s">
        <v>85</v>
      </c>
      <c r="G6" s="99" t="s">
        <v>217</v>
      </c>
      <c r="H6" s="100">
        <f t="shared" si="0"/>
        <v>0</v>
      </c>
      <c r="I6" s="78">
        <f>IF(F6="USD",D6*VLOOKUP(J6,'Kursy walut'!C:E,2,0),IF(F6="EUR",D6*VLOOKUP(J6,'Kursy walut'!C:E,3,0),D6))</f>
        <v>14387250.322799999</v>
      </c>
      <c r="J6" s="85" t="s">
        <v>217</v>
      </c>
      <c r="K6" s="80">
        <f>D6/VLOOKUP(F6,'Kursy walut'!C:E,2,0)</f>
        <v>35609.899246796442</v>
      </c>
      <c r="L6" s="81" t="s">
        <v>86</v>
      </c>
      <c r="M6" s="82">
        <f>D6/VLOOKUP(F6,'Kursy walut'!C:E,3,0)</f>
        <v>36404</v>
      </c>
      <c r="N6" s="81" t="s">
        <v>85</v>
      </c>
      <c r="O6" s="81" t="e">
        <f t="shared" si="1"/>
        <v>#VALUE!</v>
      </c>
    </row>
    <row r="7" spans="1:15" ht="15.75" customHeight="1" x14ac:dyDescent="0.15">
      <c r="A7" s="73" t="s">
        <v>83</v>
      </c>
      <c r="B7" s="74" t="s">
        <v>90</v>
      </c>
      <c r="C7" s="75" t="s">
        <v>529</v>
      </c>
      <c r="D7" s="75" t="s">
        <v>530</v>
      </c>
      <c r="E7" s="75" t="s">
        <v>531</v>
      </c>
      <c r="F7" s="75" t="s">
        <v>91</v>
      </c>
      <c r="G7" s="99" t="s">
        <v>91</v>
      </c>
      <c r="H7" s="100">
        <f t="shared" si="0"/>
        <v>1</v>
      </c>
      <c r="I7" s="78" t="str">
        <f>IF(F7="USD",D7*VLOOKUP(J7,'Kursy walut'!C:E,2,0),IF(F7="EUR",D7*VLOOKUP(J7,'Kursy walut'!C:E,3,0),D7))</f>
        <v>799</v>
      </c>
      <c r="J7" s="79" t="s">
        <v>91</v>
      </c>
      <c r="K7" s="80">
        <f>D7/VLOOKUP(F7,'Kursy walut'!C:E,2,0)</f>
        <v>5.3500427869504481</v>
      </c>
      <c r="L7" s="81" t="s">
        <v>86</v>
      </c>
      <c r="M7" s="82">
        <f>D7/VLOOKUP(F7,'Kursy walut'!C:E,3,0)</f>
        <v>5.4691002679790683</v>
      </c>
      <c r="N7" s="81" t="s">
        <v>85</v>
      </c>
      <c r="O7" s="81" t="e">
        <f t="shared" si="1"/>
        <v>#VALUE!</v>
      </c>
    </row>
    <row r="8" spans="1:15" ht="15.75" customHeight="1" x14ac:dyDescent="0.15">
      <c r="A8" s="73" t="s">
        <v>28</v>
      </c>
      <c r="B8" s="74" t="s">
        <v>94</v>
      </c>
      <c r="C8" s="75" t="s">
        <v>513</v>
      </c>
      <c r="D8" s="75" t="s">
        <v>514</v>
      </c>
      <c r="E8" s="75" t="s">
        <v>515</v>
      </c>
      <c r="F8" s="75" t="s">
        <v>85</v>
      </c>
      <c r="G8" s="99" t="s">
        <v>85</v>
      </c>
      <c r="H8" s="100">
        <f t="shared" si="0"/>
        <v>1</v>
      </c>
      <c r="I8" s="78">
        <f>IF(F8="USD",D8*VLOOKUP(J8,'Kursy walut'!C:E,2,0),IF(F8="EUR",D8*VLOOKUP(J8,'Kursy walut'!C:E,3,0),D8))</f>
        <v>36495</v>
      </c>
      <c r="J8" s="79" t="s">
        <v>85</v>
      </c>
      <c r="K8" s="80">
        <f>D8/VLOOKUP(F8,'Kursy walut'!C:E,2,0)</f>
        <v>35698.914213049007</v>
      </c>
      <c r="L8" s="81" t="s">
        <v>86</v>
      </c>
      <c r="M8" s="82">
        <f>D8/VLOOKUP(F8,'Kursy walut'!C:E,3,0)</f>
        <v>36495</v>
      </c>
      <c r="N8" s="81" t="s">
        <v>85</v>
      </c>
      <c r="O8" s="81" t="e">
        <f t="shared" si="1"/>
        <v>#VALUE!</v>
      </c>
    </row>
    <row r="9" spans="1:15" ht="15.75" customHeight="1" x14ac:dyDescent="0.15">
      <c r="A9" s="73" t="s">
        <v>57</v>
      </c>
      <c r="B9" s="74" t="s">
        <v>92</v>
      </c>
      <c r="C9" s="75" t="s">
        <v>532</v>
      </c>
      <c r="D9" s="75" t="s">
        <v>533</v>
      </c>
      <c r="E9" s="75" t="s">
        <v>534</v>
      </c>
      <c r="F9" s="75" t="s">
        <v>93</v>
      </c>
      <c r="G9" s="99" t="s">
        <v>93</v>
      </c>
      <c r="H9" s="100">
        <f t="shared" si="0"/>
        <v>1</v>
      </c>
      <c r="I9" s="78" t="str">
        <f>IF(F9="USD",D9*VLOOKUP(J9,'Kursy walut'!C:E,2,0),IF(F9="EUR",D9*VLOOKUP(J9,'Kursy walut'!C:E,3,0),D9))</f>
        <v>16.99</v>
      </c>
      <c r="J9" s="79" t="s">
        <v>93</v>
      </c>
      <c r="K9" s="80" t="e">
        <f>D9/VLOOKUP(F9,'Kursy walut'!C:E,2,0)</f>
        <v>#VALUE!</v>
      </c>
      <c r="L9" s="81" t="s">
        <v>86</v>
      </c>
      <c r="M9" s="82" t="e">
        <f>D9/VLOOKUP(F9,'Kursy walut'!C:E,3,0)</f>
        <v>#VALUE!</v>
      </c>
      <c r="N9" s="81" t="s">
        <v>85</v>
      </c>
      <c r="O9" s="81" t="e">
        <f t="shared" si="1"/>
        <v>#VALUE!</v>
      </c>
    </row>
    <row r="10" spans="1:15" ht="15.75" customHeight="1" x14ac:dyDescent="0.15">
      <c r="A10" s="73" t="s">
        <v>535</v>
      </c>
      <c r="B10" s="74" t="s">
        <v>536</v>
      </c>
      <c r="C10" s="75" t="s">
        <v>526</v>
      </c>
      <c r="D10" s="75" t="s">
        <v>523</v>
      </c>
      <c r="E10" s="75" t="s">
        <v>527</v>
      </c>
      <c r="F10" s="75" t="s">
        <v>85</v>
      </c>
      <c r="G10" s="99" t="s">
        <v>224</v>
      </c>
      <c r="H10" s="100">
        <f t="shared" si="0"/>
        <v>0</v>
      </c>
      <c r="I10" s="78">
        <f>IF(F10="USD",D10*VLOOKUP(J10,'Kursy walut'!C:E,2,0),IF(F10="EUR",D10*VLOOKUP(J10,'Kursy walut'!C:E,3,0),D10))</f>
        <v>60692.748800000001</v>
      </c>
      <c r="J10" s="85" t="s">
        <v>224</v>
      </c>
      <c r="K10" s="80">
        <f>D10/VLOOKUP(F10,'Kursy walut'!C:E,2,0)</f>
        <v>35609.899246796442</v>
      </c>
      <c r="L10" s="81" t="s">
        <v>86</v>
      </c>
      <c r="M10" s="82">
        <f>D10/VLOOKUP(F10,'Kursy walut'!C:E,3,0)</f>
        <v>36404</v>
      </c>
      <c r="N10" s="81" t="s">
        <v>85</v>
      </c>
      <c r="O10" s="81" t="e">
        <f t="shared" si="1"/>
        <v>#VALUE!</v>
      </c>
    </row>
    <row r="11" spans="1:15" ht="15.75" customHeight="1" x14ac:dyDescent="0.15">
      <c r="A11" s="73" t="s">
        <v>53</v>
      </c>
      <c r="B11" s="74" t="s">
        <v>95</v>
      </c>
      <c r="C11" s="75" t="s">
        <v>526</v>
      </c>
      <c r="D11" s="75" t="s">
        <v>523</v>
      </c>
      <c r="E11" s="75" t="s">
        <v>527</v>
      </c>
      <c r="F11" s="75" t="s">
        <v>85</v>
      </c>
      <c r="G11" s="99" t="s">
        <v>96</v>
      </c>
      <c r="H11" s="100">
        <f t="shared" si="0"/>
        <v>0</v>
      </c>
      <c r="I11" s="78">
        <f>IF(F11="USD",D11*VLOOKUP(J11,'Kursy walut'!C:E,2,0),IF(F11="EUR",D11*VLOOKUP(J11,'Kursy walut'!C:E,3,0),D11))</f>
        <v>71198.943199999994</v>
      </c>
      <c r="J11" s="85" t="s">
        <v>96</v>
      </c>
      <c r="K11" s="80">
        <f>D11/VLOOKUP(F11,'Kursy walut'!C:E,2,0)</f>
        <v>35609.899246796442</v>
      </c>
      <c r="L11" s="81" t="s">
        <v>86</v>
      </c>
      <c r="M11" s="82">
        <f>D11/VLOOKUP(F11,'Kursy walut'!C:E,3,0)</f>
        <v>36404</v>
      </c>
      <c r="N11" s="81" t="s">
        <v>85</v>
      </c>
      <c r="O11" s="81" t="e">
        <f t="shared" si="1"/>
        <v>#VALUE!</v>
      </c>
    </row>
    <row r="12" spans="1:15" ht="15.75" customHeight="1" x14ac:dyDescent="0.15">
      <c r="A12" s="73" t="s">
        <v>537</v>
      </c>
      <c r="B12" s="74" t="s">
        <v>538</v>
      </c>
      <c r="C12" s="75" t="s">
        <v>539</v>
      </c>
      <c r="D12" s="75" t="s">
        <v>540</v>
      </c>
      <c r="E12" s="75" t="s">
        <v>515</v>
      </c>
      <c r="F12" s="75" t="s">
        <v>85</v>
      </c>
      <c r="G12" s="99" t="s">
        <v>85</v>
      </c>
      <c r="H12" s="100">
        <f t="shared" si="0"/>
        <v>1</v>
      </c>
      <c r="I12" s="78" t="e">
        <f>IF(F12="USD",D12*VLOOKUP(J12,'Kursy walut'!C:E,2,0),IF(F12="EUR",D12*VLOOKUP(J12,'Kursy walut'!C:E,3,0),D12))</f>
        <v>#VALUE!</v>
      </c>
      <c r="J12" s="79" t="s">
        <v>85</v>
      </c>
      <c r="K12" s="80" t="e">
        <f>D12/VLOOKUP(F12,'Kursy walut'!C:E,2,0)</f>
        <v>#VALUE!</v>
      </c>
      <c r="L12" s="81" t="s">
        <v>86</v>
      </c>
      <c r="M12" s="82" t="e">
        <f>D12/VLOOKUP(F12,'Kursy walut'!C:E,3,0)</f>
        <v>#VALUE!</v>
      </c>
      <c r="N12" s="81" t="s">
        <v>85</v>
      </c>
      <c r="O12" s="81" t="e">
        <f t="shared" si="1"/>
        <v>#VALUE!</v>
      </c>
    </row>
    <row r="13" spans="1:15" ht="15.75" customHeight="1" x14ac:dyDescent="0.15">
      <c r="A13" s="73" t="s">
        <v>54</v>
      </c>
      <c r="B13" s="74" t="s">
        <v>99</v>
      </c>
      <c r="C13" s="75" t="s">
        <v>526</v>
      </c>
      <c r="D13" s="75" t="s">
        <v>523</v>
      </c>
      <c r="E13" s="75" t="s">
        <v>527</v>
      </c>
      <c r="F13" s="75" t="s">
        <v>85</v>
      </c>
      <c r="G13" s="99" t="s">
        <v>100</v>
      </c>
      <c r="H13" s="100">
        <f t="shared" si="0"/>
        <v>0</v>
      </c>
      <c r="I13" s="78">
        <f>IF(F13="USD",D13*VLOOKUP(J13,'Kursy walut'!C:E,2,0),IF(F13="EUR",D13*VLOOKUP(J13,'Kursy walut'!C:E,3,0),D13))</f>
        <v>71198.943199999994</v>
      </c>
      <c r="J13" s="85" t="s">
        <v>100</v>
      </c>
      <c r="K13" s="80">
        <f>D13/VLOOKUP(F13,'Kursy walut'!C:E,2,0)</f>
        <v>35609.899246796442</v>
      </c>
      <c r="L13" s="81" t="s">
        <v>86</v>
      </c>
      <c r="M13" s="82">
        <f>D13/VLOOKUP(F13,'Kursy walut'!C:E,3,0)</f>
        <v>36404</v>
      </c>
      <c r="N13" s="81" t="s">
        <v>85</v>
      </c>
      <c r="O13" s="81" t="e">
        <f t="shared" si="1"/>
        <v>#VALUE!</v>
      </c>
    </row>
    <row r="14" spans="1:15" ht="15.75" customHeight="1" x14ac:dyDescent="0.15">
      <c r="A14" s="73" t="s">
        <v>541</v>
      </c>
      <c r="B14" s="74" t="s">
        <v>542</v>
      </c>
      <c r="C14" s="75" t="s">
        <v>522</v>
      </c>
      <c r="D14" s="75" t="s">
        <v>532</v>
      </c>
      <c r="E14" s="75" t="s">
        <v>543</v>
      </c>
      <c r="F14" s="75" t="s">
        <v>86</v>
      </c>
      <c r="G14" s="99" t="s">
        <v>236</v>
      </c>
      <c r="H14" s="100">
        <f t="shared" si="0"/>
        <v>0</v>
      </c>
      <c r="I14" s="78">
        <f>IF(F14="USD",D14*VLOOKUP(J14,'Kursy walut'!C:E,2,0),IF(F14="EUR",D14*VLOOKUP(J14,'Kursy walut'!C:E,3,0),D14))</f>
        <v>252196.14799999999</v>
      </c>
      <c r="J14" s="85" t="s">
        <v>236</v>
      </c>
      <c r="K14" s="80">
        <f>D14/VLOOKUP(F14,'Kursy walut'!C:E,2,0)</f>
        <v>36434</v>
      </c>
      <c r="L14" s="81" t="s">
        <v>86</v>
      </c>
      <c r="M14" s="82">
        <f>D14/VLOOKUP(F14,'Kursy walut'!C:E,3,0)</f>
        <v>37245.961970967081</v>
      </c>
      <c r="N14" s="81" t="s">
        <v>85</v>
      </c>
      <c r="O14" s="81" t="e">
        <f t="shared" si="1"/>
        <v>#VALUE!</v>
      </c>
    </row>
    <row r="15" spans="1:15" ht="15.75" customHeight="1" x14ac:dyDescent="0.15">
      <c r="A15" s="73" t="s">
        <v>77</v>
      </c>
      <c r="B15" s="74" t="s">
        <v>97</v>
      </c>
      <c r="C15" s="83" t="s">
        <v>544</v>
      </c>
      <c r="D15" s="83" t="s">
        <v>545</v>
      </c>
      <c r="E15" s="83" t="s">
        <v>546</v>
      </c>
      <c r="F15" s="83" t="s">
        <v>98</v>
      </c>
      <c r="G15" s="99" t="s">
        <v>98</v>
      </c>
      <c r="H15" s="100">
        <f t="shared" si="0"/>
        <v>1</v>
      </c>
      <c r="I15" s="78" t="str">
        <f>IF(F15="USD",D15*VLOOKUP(J15,'Kursy walut'!C:E,2,0),IF(F15="EUR",D15*VLOOKUP(J15,'Kursy walut'!C:E,3,0),D15))</f>
        <v>39.90</v>
      </c>
      <c r="J15" s="79" t="s">
        <v>98</v>
      </c>
      <c r="K15" s="80" t="e">
        <f>D15/VLOOKUP(F15,'Kursy walut'!C:E,2,0)</f>
        <v>#VALUE!</v>
      </c>
      <c r="L15" s="81" t="s">
        <v>86</v>
      </c>
      <c r="M15" s="82" t="e">
        <f>D15/VLOOKUP(F15,'Kursy walut'!C:E,3,0)</f>
        <v>#VALUE!</v>
      </c>
      <c r="N15" s="81" t="s">
        <v>85</v>
      </c>
      <c r="O15" s="81" t="e">
        <f t="shared" si="1"/>
        <v>#VALUE!</v>
      </c>
    </row>
    <row r="16" spans="1:15" ht="15.75" customHeight="1" x14ac:dyDescent="0.15">
      <c r="A16" s="73" t="s">
        <v>547</v>
      </c>
      <c r="B16" s="74" t="s">
        <v>548</v>
      </c>
      <c r="C16" s="75" t="s">
        <v>526</v>
      </c>
      <c r="D16" s="75" t="s">
        <v>523</v>
      </c>
      <c r="E16" s="75" t="s">
        <v>527</v>
      </c>
      <c r="F16" s="75" t="s">
        <v>85</v>
      </c>
      <c r="G16" s="99" t="s">
        <v>244</v>
      </c>
      <c r="H16" s="100">
        <f t="shared" si="0"/>
        <v>0</v>
      </c>
      <c r="I16" s="78">
        <f>IF(F16="USD",D16*VLOOKUP(J16,'Kursy walut'!C:E,2,0),IF(F16="EUR",D16*VLOOKUP(J16,'Kursy walut'!C:E,3,0),D16))</f>
        <v>90227.313999999998</v>
      </c>
      <c r="J16" s="85" t="s">
        <v>244</v>
      </c>
      <c r="K16" s="80">
        <f>D16/VLOOKUP(F16,'Kursy walut'!C:E,2,0)</f>
        <v>35609.899246796442</v>
      </c>
      <c r="L16" s="81" t="s">
        <v>86</v>
      </c>
      <c r="M16" s="82">
        <f>D16/VLOOKUP(F16,'Kursy walut'!C:E,3,0)</f>
        <v>36404</v>
      </c>
      <c r="N16" s="81" t="s">
        <v>85</v>
      </c>
      <c r="O16" s="81" t="e">
        <f t="shared" si="1"/>
        <v>#VALUE!</v>
      </c>
    </row>
    <row r="17" spans="1:15" ht="15.75" customHeight="1" x14ac:dyDescent="0.15">
      <c r="A17" s="73" t="s">
        <v>37</v>
      </c>
      <c r="B17" s="74" t="s">
        <v>101</v>
      </c>
      <c r="C17" s="83" t="s">
        <v>549</v>
      </c>
      <c r="D17" s="83" t="s">
        <v>550</v>
      </c>
      <c r="E17" s="83" t="s">
        <v>551</v>
      </c>
      <c r="F17" s="83" t="s">
        <v>102</v>
      </c>
      <c r="G17" s="99" t="s">
        <v>102</v>
      </c>
      <c r="H17" s="100">
        <f t="shared" si="0"/>
        <v>1</v>
      </c>
      <c r="I17" s="78" t="str">
        <f>IF(F17="USD",D17*VLOOKUP(J17,'Kursy walut'!C:E,2,0),IF(F17="EUR",D17*VLOOKUP(J17,'Kursy walut'!C:E,3,0),D17))</f>
        <v>16.49</v>
      </c>
      <c r="J17" s="79" t="s">
        <v>102</v>
      </c>
      <c r="K17" s="80" t="e">
        <f>D17/VLOOKUP(F17,'Kursy walut'!C:E,2,0)</f>
        <v>#VALUE!</v>
      </c>
      <c r="L17" s="81" t="s">
        <v>86</v>
      </c>
      <c r="M17" s="82" t="e">
        <f>D17/VLOOKUP(F17,'Kursy walut'!C:E,3,0)</f>
        <v>#VALUE!</v>
      </c>
      <c r="N17" s="81" t="s">
        <v>85</v>
      </c>
      <c r="O17" s="81" t="e">
        <f t="shared" si="1"/>
        <v>#VALUE!</v>
      </c>
    </row>
    <row r="18" spans="1:15" ht="15.75" customHeight="1" x14ac:dyDescent="0.15">
      <c r="A18" s="73" t="s">
        <v>25</v>
      </c>
      <c r="B18" s="74" t="s">
        <v>177</v>
      </c>
      <c r="C18" s="83" t="s">
        <v>552</v>
      </c>
      <c r="D18" s="83" t="s">
        <v>553</v>
      </c>
      <c r="E18" s="83" t="s">
        <v>554</v>
      </c>
      <c r="F18" s="83" t="s">
        <v>178</v>
      </c>
      <c r="G18" s="99" t="s">
        <v>178</v>
      </c>
      <c r="H18" s="100">
        <f t="shared" si="0"/>
        <v>1</v>
      </c>
      <c r="I18" s="78" t="str">
        <f>IF(F18="USD",D18*VLOOKUP(J18,'Kursy walut'!C:E,2,0),IF(F18="EUR",D18*VLOOKUP(J18,'Kursy walut'!C:E,3,0),D18))</f>
        <v>18.90</v>
      </c>
      <c r="J18" s="79" t="s">
        <v>178</v>
      </c>
      <c r="K18" s="80" t="e">
        <f>D18/VLOOKUP(F18,'Kursy walut'!C:E,2,0)</f>
        <v>#VALUE!</v>
      </c>
      <c r="L18" s="81" t="s">
        <v>86</v>
      </c>
      <c r="M18" s="82" t="e">
        <f>D18/VLOOKUP(F18,'Kursy walut'!C:E,3,0)</f>
        <v>#VALUE!</v>
      </c>
      <c r="N18" s="81" t="s">
        <v>85</v>
      </c>
      <c r="O18" s="81" t="e">
        <f t="shared" si="1"/>
        <v>#VALUE!</v>
      </c>
    </row>
    <row r="19" spans="1:15" ht="15.75" customHeight="1" x14ac:dyDescent="0.15">
      <c r="A19" s="73" t="s">
        <v>555</v>
      </c>
      <c r="B19" s="74" t="s">
        <v>556</v>
      </c>
      <c r="C19" s="83" t="s">
        <v>522</v>
      </c>
      <c r="D19" s="83" t="s">
        <v>523</v>
      </c>
      <c r="E19" s="83" t="s">
        <v>524</v>
      </c>
      <c r="F19" s="83" t="s">
        <v>86</v>
      </c>
      <c r="G19" s="99" t="s">
        <v>251</v>
      </c>
      <c r="H19" s="100">
        <f t="shared" si="0"/>
        <v>0</v>
      </c>
      <c r="I19" s="78">
        <f>IF(F19="USD",D19*VLOOKUP(J19,'Kursy walut'!C:E,2,0),IF(F19="EUR",D19*VLOOKUP(J19,'Kursy walut'!C:E,3,0),D19))</f>
        <v>24392219.889199998</v>
      </c>
      <c r="J19" s="85" t="s">
        <v>251</v>
      </c>
      <c r="K19" s="80">
        <f>D19/VLOOKUP(F19,'Kursy walut'!C:E,2,0)</f>
        <v>36404</v>
      </c>
      <c r="L19" s="81" t="s">
        <v>86</v>
      </c>
      <c r="M19" s="82">
        <f>D19/VLOOKUP(F19,'Kursy walut'!C:E,3,0)</f>
        <v>37215.293396033536</v>
      </c>
      <c r="N19" s="81" t="s">
        <v>85</v>
      </c>
      <c r="O19" s="81" t="e">
        <f t="shared" si="1"/>
        <v>#VALUE!</v>
      </c>
    </row>
    <row r="20" spans="1:15" ht="15.75" customHeight="1" x14ac:dyDescent="0.15">
      <c r="A20" s="73" t="s">
        <v>68</v>
      </c>
      <c r="B20" s="74" t="s">
        <v>103</v>
      </c>
      <c r="C20" s="83" t="s">
        <v>557</v>
      </c>
      <c r="D20" s="83" t="s">
        <v>558</v>
      </c>
      <c r="E20" s="83" t="s">
        <v>559</v>
      </c>
      <c r="F20" s="83" t="s">
        <v>104</v>
      </c>
      <c r="G20" s="99" t="s">
        <v>104</v>
      </c>
      <c r="H20" s="100">
        <f t="shared" si="0"/>
        <v>1</v>
      </c>
      <c r="I20" s="78" t="str">
        <f>IF(F20="USD",D20*VLOOKUP(J20,'Kursy walut'!C:E,2,0),IF(F20="EUR",D20*VLOOKUP(J20,'Kursy walut'!C:E,3,0),D20))</f>
        <v>8,320.00</v>
      </c>
      <c r="J20" s="79" t="s">
        <v>104</v>
      </c>
      <c r="K20" s="80" t="e">
        <f>D20/VLOOKUP(F20,'Kursy walut'!C:E,2,0)</f>
        <v>#VALUE!</v>
      </c>
      <c r="L20" s="81" t="s">
        <v>86</v>
      </c>
      <c r="M20" s="82" t="e">
        <f>D20/VLOOKUP(F20,'Kursy walut'!C:E,3,0)</f>
        <v>#VALUE!</v>
      </c>
      <c r="N20" s="81" t="s">
        <v>85</v>
      </c>
      <c r="O20" s="81" t="e">
        <f t="shared" si="1"/>
        <v>#VALUE!</v>
      </c>
    </row>
    <row r="21" spans="1:15" ht="15.75" customHeight="1" x14ac:dyDescent="0.15">
      <c r="A21" s="73" t="s">
        <v>560</v>
      </c>
      <c r="B21" s="74" t="s">
        <v>561</v>
      </c>
      <c r="C21" s="83" t="s">
        <v>522</v>
      </c>
      <c r="D21" s="83" t="s">
        <v>523</v>
      </c>
      <c r="E21" s="83" t="s">
        <v>524</v>
      </c>
      <c r="F21" s="83" t="s">
        <v>86</v>
      </c>
      <c r="G21" s="99" t="s">
        <v>255</v>
      </c>
      <c r="H21" s="100">
        <f t="shared" si="0"/>
        <v>0</v>
      </c>
      <c r="I21" s="78">
        <f>IF(F21="USD",D21*VLOOKUP(J21,'Kursy walut'!C:E,2,0),IF(F21="EUR",D21*VLOOKUP(J21,'Kursy walut'!C:E,3,0),D21))</f>
        <v>24438926.2212</v>
      </c>
      <c r="J21" s="85" t="s">
        <v>255</v>
      </c>
      <c r="K21" s="80">
        <f>D21/VLOOKUP(F21,'Kursy walut'!C:E,2,0)</f>
        <v>36404</v>
      </c>
      <c r="L21" s="81" t="s">
        <v>86</v>
      </c>
      <c r="M21" s="82">
        <f>D21/VLOOKUP(F21,'Kursy walut'!C:E,3,0)</f>
        <v>37215.293396033536</v>
      </c>
      <c r="N21" s="81" t="s">
        <v>85</v>
      </c>
      <c r="O21" s="81" t="e">
        <f t="shared" si="1"/>
        <v>#VALUE!</v>
      </c>
    </row>
    <row r="22" spans="1:15" ht="15.75" customHeight="1" x14ac:dyDescent="0.15">
      <c r="A22" s="73" t="s">
        <v>80</v>
      </c>
      <c r="B22" s="74" t="s">
        <v>105</v>
      </c>
      <c r="C22" s="95" t="s">
        <v>565</v>
      </c>
      <c r="D22" s="83" t="s">
        <v>566</v>
      </c>
      <c r="E22" s="83" t="s">
        <v>567</v>
      </c>
      <c r="F22" s="83" t="s">
        <v>106</v>
      </c>
      <c r="G22" s="99" t="s">
        <v>106</v>
      </c>
      <c r="H22" s="100">
        <f t="shared" si="0"/>
        <v>1</v>
      </c>
      <c r="I22" s="78" t="str">
        <f>IF(F22="USD",D22*VLOOKUP(J22,'Kursy walut'!C:E,2,0),IF(F22="EUR",D22*VLOOKUP(J22,'Kursy walut'!C:E,3,0),D22))</f>
        <v>26,900.00</v>
      </c>
      <c r="J22" s="79" t="s">
        <v>106</v>
      </c>
      <c r="K22" s="80" t="e">
        <f>D22/VLOOKUP(F22,'Kursy walut'!C:E,2,0)</f>
        <v>#VALUE!</v>
      </c>
      <c r="L22" s="81" t="s">
        <v>86</v>
      </c>
      <c r="M22" s="82" t="e">
        <f>D22/VLOOKUP(F22,'Kursy walut'!C:E,3,0)</f>
        <v>#VALUE!</v>
      </c>
      <c r="N22" s="81" t="s">
        <v>85</v>
      </c>
      <c r="O22" s="81" t="e">
        <f t="shared" si="1"/>
        <v>#VALUE!</v>
      </c>
    </row>
    <row r="23" spans="1:15" ht="15.75" customHeight="1" x14ac:dyDescent="0.15">
      <c r="A23" s="73" t="s">
        <v>568</v>
      </c>
      <c r="B23" s="74" t="s">
        <v>569</v>
      </c>
      <c r="C23" s="83" t="s">
        <v>570</v>
      </c>
      <c r="D23" s="83" t="s">
        <v>514</v>
      </c>
      <c r="E23" s="83" t="s">
        <v>571</v>
      </c>
      <c r="F23" s="83" t="s">
        <v>86</v>
      </c>
      <c r="G23" s="99" t="s">
        <v>263</v>
      </c>
      <c r="H23" s="100">
        <f t="shared" si="0"/>
        <v>0</v>
      </c>
      <c r="I23" s="78">
        <f>IF(F23="USD",D23*VLOOKUP(J23,'Kursy walut'!C:E,2,0),IF(F23="EUR",D23*VLOOKUP(J23,'Kursy walut'!C:E,3,0),D23))</f>
        <v>22979281.122000001</v>
      </c>
      <c r="J23" s="85" t="s">
        <v>263</v>
      </c>
      <c r="K23" s="80">
        <f>D23/VLOOKUP(F23,'Kursy walut'!C:E,2,0)</f>
        <v>36495</v>
      </c>
      <c r="L23" s="81" t="s">
        <v>86</v>
      </c>
      <c r="M23" s="82">
        <f>D23/VLOOKUP(F23,'Kursy walut'!C:E,3,0)</f>
        <v>37308.321406665302</v>
      </c>
      <c r="N23" s="81" t="s">
        <v>85</v>
      </c>
      <c r="O23" s="81" t="e">
        <f t="shared" si="1"/>
        <v>#VALUE!</v>
      </c>
    </row>
    <row r="24" spans="1:15" ht="15.75" customHeight="1" x14ac:dyDescent="0.15">
      <c r="A24" s="73" t="s">
        <v>572</v>
      </c>
      <c r="B24" s="74" t="s">
        <v>573</v>
      </c>
      <c r="C24" s="83" t="s">
        <v>522</v>
      </c>
      <c r="D24" s="83" t="s">
        <v>532</v>
      </c>
      <c r="E24" s="83" t="s">
        <v>543</v>
      </c>
      <c r="F24" s="83" t="s">
        <v>86</v>
      </c>
      <c r="G24" s="99" t="s">
        <v>86</v>
      </c>
      <c r="H24" s="100">
        <f t="shared" si="0"/>
        <v>1</v>
      </c>
      <c r="I24" s="78">
        <f>IF(F24="USD",D24*VLOOKUP(J24,'Kursy walut'!C:E,2,0),IF(F24="EUR",D24*VLOOKUP(J24,'Kursy walut'!C:E,3,0),D24))</f>
        <v>36434</v>
      </c>
      <c r="J24" s="79" t="s">
        <v>86</v>
      </c>
      <c r="K24" s="80">
        <f>D24/VLOOKUP(F24,'Kursy walut'!C:E,2,0)</f>
        <v>36434</v>
      </c>
      <c r="L24" s="81" t="s">
        <v>86</v>
      </c>
      <c r="M24" s="82">
        <f>D24/VLOOKUP(F24,'Kursy walut'!C:E,3,0)</f>
        <v>37245.961970967081</v>
      </c>
      <c r="N24" s="81" t="s">
        <v>85</v>
      </c>
      <c r="O24" s="81" t="e">
        <f t="shared" si="1"/>
        <v>#VALUE!</v>
      </c>
    </row>
    <row r="25" spans="1:15" ht="15.75" customHeight="1" x14ac:dyDescent="0.15">
      <c r="A25" s="73" t="s">
        <v>574</v>
      </c>
      <c r="B25" s="74" t="s">
        <v>575</v>
      </c>
      <c r="C25" s="95" t="s">
        <v>526</v>
      </c>
      <c r="D25" s="83" t="s">
        <v>532</v>
      </c>
      <c r="E25" s="83" t="s">
        <v>576</v>
      </c>
      <c r="F25" s="75" t="s">
        <v>85</v>
      </c>
      <c r="G25" s="99" t="s">
        <v>85</v>
      </c>
      <c r="H25" s="100">
        <f t="shared" si="0"/>
        <v>1</v>
      </c>
      <c r="I25" s="78">
        <f>IF(F25="USD",D25*VLOOKUP(J25,'Kursy walut'!C:E,2,0),IF(F25="EUR",D25*VLOOKUP(J25,'Kursy walut'!C:E,3,0),D25))</f>
        <v>36434</v>
      </c>
      <c r="J25" s="79" t="s">
        <v>85</v>
      </c>
      <c r="K25" s="80">
        <f>D25/VLOOKUP(F25,'Kursy walut'!C:E,2,0)</f>
        <v>35639.244840066516</v>
      </c>
      <c r="L25" s="81" t="s">
        <v>86</v>
      </c>
      <c r="M25" s="82">
        <f>D25/VLOOKUP(F25,'Kursy walut'!C:E,3,0)</f>
        <v>36434</v>
      </c>
      <c r="N25" s="81" t="s">
        <v>85</v>
      </c>
      <c r="O25" s="81" t="e">
        <f t="shared" si="1"/>
        <v>#VALUE!</v>
      </c>
    </row>
    <row r="26" spans="1:15" ht="15.75" customHeight="1" x14ac:dyDescent="0.15">
      <c r="A26" s="73" t="s">
        <v>41</v>
      </c>
      <c r="B26" s="74" t="s">
        <v>109</v>
      </c>
      <c r="C26" s="83" t="s">
        <v>577</v>
      </c>
      <c r="D26" s="83" t="s">
        <v>578</v>
      </c>
      <c r="E26" s="83" t="s">
        <v>579</v>
      </c>
      <c r="F26" s="83" t="s">
        <v>110</v>
      </c>
      <c r="G26" s="99" t="s">
        <v>110</v>
      </c>
      <c r="H26" s="100">
        <f t="shared" si="0"/>
        <v>1</v>
      </c>
      <c r="I26" s="78" t="str">
        <f>IF(F26="USD",D26*VLOOKUP(J26,'Kursy walut'!C:E,2,0),IF(F26="EUR",D26*VLOOKUP(J26,'Kursy walut'!C:E,3,0),D26))</f>
        <v>259.00</v>
      </c>
      <c r="J26" s="79" t="s">
        <v>110</v>
      </c>
      <c r="K26" s="80" t="e">
        <f>D26/VLOOKUP(F26,'Kursy walut'!C:E,2,0)</f>
        <v>#VALUE!</v>
      </c>
      <c r="L26" s="81" t="s">
        <v>86</v>
      </c>
      <c r="M26" s="82" t="e">
        <f>D26/VLOOKUP(F26,'Kursy walut'!C:E,3,0)</f>
        <v>#VALUE!</v>
      </c>
      <c r="N26" s="81" t="s">
        <v>85</v>
      </c>
      <c r="O26" s="81" t="e">
        <f t="shared" si="1"/>
        <v>#VALUE!</v>
      </c>
    </row>
    <row r="27" spans="1:15" ht="15.75" customHeight="1" x14ac:dyDescent="0.15">
      <c r="A27" s="73" t="s">
        <v>29</v>
      </c>
      <c r="B27" s="74" t="s">
        <v>116</v>
      </c>
      <c r="C27" s="83" t="s">
        <v>526</v>
      </c>
      <c r="D27" s="83" t="s">
        <v>514</v>
      </c>
      <c r="E27" s="83" t="s">
        <v>580</v>
      </c>
      <c r="F27" s="75" t="s">
        <v>85</v>
      </c>
      <c r="G27" s="99" t="s">
        <v>85</v>
      </c>
      <c r="H27" s="100">
        <f t="shared" si="0"/>
        <v>1</v>
      </c>
      <c r="I27" s="78">
        <f>IF(F27="USD",D27*VLOOKUP(J27,'Kursy walut'!C:E,2,0),IF(F27="EUR",D27*VLOOKUP(J27,'Kursy walut'!C:E,3,0),D27))</f>
        <v>36495</v>
      </c>
      <c r="J27" s="79" t="s">
        <v>85</v>
      </c>
      <c r="K27" s="80">
        <f>D27/VLOOKUP(F27,'Kursy walut'!C:E,2,0)</f>
        <v>35698.914213049007</v>
      </c>
      <c r="L27" s="81" t="s">
        <v>86</v>
      </c>
      <c r="M27" s="82">
        <f>D27/VLOOKUP(F27,'Kursy walut'!C:E,3,0)</f>
        <v>36495</v>
      </c>
      <c r="N27" s="81" t="s">
        <v>85</v>
      </c>
      <c r="O27" s="81" t="e">
        <f t="shared" si="1"/>
        <v>#VALUE!</v>
      </c>
    </row>
    <row r="28" spans="1:15" ht="15.75" customHeight="1" x14ac:dyDescent="0.15">
      <c r="A28" s="73" t="s">
        <v>581</v>
      </c>
      <c r="B28" s="74" t="s">
        <v>582</v>
      </c>
      <c r="C28" s="83" t="s">
        <v>583</v>
      </c>
      <c r="D28" s="83" t="s">
        <v>584</v>
      </c>
      <c r="E28" s="83" t="s">
        <v>585</v>
      </c>
      <c r="F28" s="83" t="s">
        <v>274</v>
      </c>
      <c r="G28" s="99" t="s">
        <v>274</v>
      </c>
      <c r="H28" s="100">
        <f t="shared" si="0"/>
        <v>1</v>
      </c>
      <c r="I28" s="78" t="str">
        <f>IF(F28="USD",D28*VLOOKUP(J28,'Kursy walut'!C:E,2,0),IF(F28="EUR",D28*VLOOKUP(J28,'Kursy walut'!C:E,3,0),D28))</f>
        <v>114.00</v>
      </c>
      <c r="J28" s="79" t="s">
        <v>274</v>
      </c>
      <c r="K28" s="80" t="e">
        <f>D28/VLOOKUP(F28,'Kursy walut'!C:E,2,0)</f>
        <v>#VALUE!</v>
      </c>
      <c r="L28" s="81" t="s">
        <v>86</v>
      </c>
      <c r="M28" s="82" t="e">
        <f>D28/VLOOKUP(F28,'Kursy walut'!C:E,3,0)</f>
        <v>#VALUE!</v>
      </c>
      <c r="N28" s="81" t="s">
        <v>85</v>
      </c>
      <c r="O28" s="81" t="e">
        <f t="shared" si="1"/>
        <v>#VALUE!</v>
      </c>
    </row>
    <row r="29" spans="1:15" ht="15.75" customHeight="1" x14ac:dyDescent="0.15">
      <c r="A29" s="73" t="s">
        <v>586</v>
      </c>
      <c r="B29" s="74" t="s">
        <v>587</v>
      </c>
      <c r="C29" s="95" t="s">
        <v>522</v>
      </c>
      <c r="D29" s="83" t="s">
        <v>532</v>
      </c>
      <c r="E29" s="83" t="s">
        <v>543</v>
      </c>
      <c r="F29" s="83" t="s">
        <v>86</v>
      </c>
      <c r="G29" s="99" t="s">
        <v>277</v>
      </c>
      <c r="H29" s="100">
        <f t="shared" si="0"/>
        <v>0</v>
      </c>
      <c r="I29" s="78">
        <f>IF(F29="USD",D29*VLOOKUP(J29,'Kursy walut'!C:E,2,0),IF(F29="EUR",D29*VLOOKUP(J29,'Kursy walut'!C:E,3,0),D29))</f>
        <v>1955696.9652</v>
      </c>
      <c r="J29" s="85" t="s">
        <v>277</v>
      </c>
      <c r="K29" s="80">
        <f>D29/VLOOKUP(F29,'Kursy walut'!C:E,2,0)</f>
        <v>36434</v>
      </c>
      <c r="L29" s="81" t="s">
        <v>86</v>
      </c>
      <c r="M29" s="82">
        <f>D29/VLOOKUP(F29,'Kursy walut'!C:E,3,0)</f>
        <v>37245.961970967081</v>
      </c>
      <c r="N29" s="81" t="s">
        <v>85</v>
      </c>
      <c r="O29" s="81" t="e">
        <f t="shared" si="1"/>
        <v>#VALUE!</v>
      </c>
    </row>
    <row r="30" spans="1:15" ht="15.75" customHeight="1" x14ac:dyDescent="0.15">
      <c r="A30" s="73" t="s">
        <v>588</v>
      </c>
      <c r="B30" s="74" t="s">
        <v>589</v>
      </c>
      <c r="C30" s="75" t="s">
        <v>522</v>
      </c>
      <c r="D30" s="75" t="s">
        <v>523</v>
      </c>
      <c r="E30" s="75" t="s">
        <v>524</v>
      </c>
      <c r="F30" s="75" t="s">
        <v>86</v>
      </c>
      <c r="G30" s="99" t="s">
        <v>280</v>
      </c>
      <c r="H30" s="100">
        <f t="shared" si="0"/>
        <v>0</v>
      </c>
      <c r="I30" s="78">
        <f>IF(F30="USD",D30*VLOOKUP(J30,'Kursy walut'!C:E,2,0),IF(F30="EUR",D30*VLOOKUP(J30,'Kursy walut'!C:E,3,0),D30))</f>
        <v>5113535.1851999993</v>
      </c>
      <c r="J30" s="85" t="s">
        <v>280</v>
      </c>
      <c r="K30" s="80">
        <f>D30/VLOOKUP(F30,'Kursy walut'!C:E,2,0)</f>
        <v>36404</v>
      </c>
      <c r="L30" s="81" t="s">
        <v>86</v>
      </c>
      <c r="M30" s="82">
        <f>D30/VLOOKUP(F30,'Kursy walut'!C:E,3,0)</f>
        <v>37215.293396033536</v>
      </c>
      <c r="N30" s="81" t="s">
        <v>85</v>
      </c>
      <c r="O30" s="81" t="e">
        <f t="shared" si="1"/>
        <v>#VALUE!</v>
      </c>
    </row>
    <row r="31" spans="1:15" ht="15.75" customHeight="1" x14ac:dyDescent="0.15">
      <c r="A31" s="73" t="s">
        <v>590</v>
      </c>
      <c r="B31" s="74" t="s">
        <v>591</v>
      </c>
      <c r="C31" s="95" t="s">
        <v>522</v>
      </c>
      <c r="D31" s="83" t="s">
        <v>532</v>
      </c>
      <c r="E31" s="83" t="s">
        <v>543</v>
      </c>
      <c r="F31" s="83" t="s">
        <v>86</v>
      </c>
      <c r="G31" s="99" t="s">
        <v>86</v>
      </c>
      <c r="H31" s="100">
        <f t="shared" si="0"/>
        <v>1</v>
      </c>
      <c r="I31" s="78">
        <f>IF(F31="USD",D31*VLOOKUP(J31,'Kursy walut'!C:E,2,0),IF(F31="EUR",D31*VLOOKUP(J31,'Kursy walut'!C:E,3,0),D31))</f>
        <v>36434</v>
      </c>
      <c r="J31" s="85" t="s">
        <v>86</v>
      </c>
      <c r="K31" s="80">
        <f>D31/VLOOKUP(F31,'Kursy walut'!C:E,2,0)</f>
        <v>36434</v>
      </c>
      <c r="L31" s="81" t="s">
        <v>86</v>
      </c>
      <c r="M31" s="82">
        <f>D31/VLOOKUP(F31,'Kursy walut'!C:E,3,0)</f>
        <v>37245.961970967081</v>
      </c>
      <c r="N31" s="81" t="s">
        <v>85</v>
      </c>
      <c r="O31" s="81" t="e">
        <f t="shared" si="1"/>
        <v>#VALUE!</v>
      </c>
    </row>
    <row r="32" spans="1:15" ht="15.75" customHeight="1" x14ac:dyDescent="0.15">
      <c r="A32" s="73" t="s">
        <v>42</v>
      </c>
      <c r="B32" s="74" t="s">
        <v>113</v>
      </c>
      <c r="C32" s="83" t="s">
        <v>526</v>
      </c>
      <c r="D32" s="83" t="s">
        <v>523</v>
      </c>
      <c r="E32" s="83" t="s">
        <v>527</v>
      </c>
      <c r="F32" s="75" t="s">
        <v>85</v>
      </c>
      <c r="G32" s="99" t="s">
        <v>85</v>
      </c>
      <c r="H32" s="100">
        <f t="shared" si="0"/>
        <v>1</v>
      </c>
      <c r="I32" s="78">
        <f>IF(F32="USD",D32*VLOOKUP(J32,'Kursy walut'!C:E,2,0),IF(F32="EUR",D32*VLOOKUP(J32,'Kursy walut'!C:E,3,0),D32))</f>
        <v>36404</v>
      </c>
      <c r="J32" s="79" t="s">
        <v>85</v>
      </c>
      <c r="K32" s="80">
        <f>D32/VLOOKUP(F32,'Kursy walut'!C:E,2,0)</f>
        <v>35609.899246796442</v>
      </c>
      <c r="L32" s="81" t="s">
        <v>86</v>
      </c>
      <c r="M32" s="82">
        <f>D32/VLOOKUP(F32,'Kursy walut'!C:E,3,0)</f>
        <v>36404</v>
      </c>
      <c r="N32" s="81" t="s">
        <v>85</v>
      </c>
      <c r="O32" s="81" t="e">
        <f t="shared" si="1"/>
        <v>#VALUE!</v>
      </c>
    </row>
    <row r="33" spans="1:15" ht="15.75" customHeight="1" x14ac:dyDescent="0.15">
      <c r="A33" s="73" t="s">
        <v>71</v>
      </c>
      <c r="B33" s="74" t="s">
        <v>111</v>
      </c>
      <c r="C33" s="83" t="s">
        <v>592</v>
      </c>
      <c r="D33" s="83" t="s">
        <v>593</v>
      </c>
      <c r="E33" s="83" t="s">
        <v>594</v>
      </c>
      <c r="F33" s="83" t="s">
        <v>112</v>
      </c>
      <c r="G33" s="99" t="s">
        <v>112</v>
      </c>
      <c r="H33" s="100">
        <f t="shared" si="0"/>
        <v>1</v>
      </c>
      <c r="I33" s="78" t="str">
        <f>IF(F33="USD",D33*VLOOKUP(J33,'Kursy walut'!C:E,2,0),IF(F33="EUR",D33*VLOOKUP(J33,'Kursy walut'!C:E,3,0),D33))</f>
        <v>165.00</v>
      </c>
      <c r="J33" s="79" t="s">
        <v>112</v>
      </c>
      <c r="K33" s="80" t="e">
        <f>D33/VLOOKUP(F33,'Kursy walut'!C:E,2,0)</f>
        <v>#VALUE!</v>
      </c>
      <c r="L33" s="81" t="s">
        <v>86</v>
      </c>
      <c r="M33" s="82" t="e">
        <f>D33/VLOOKUP(F33,'Kursy walut'!C:E,3,0)</f>
        <v>#VALUE!</v>
      </c>
      <c r="N33" s="81" t="s">
        <v>85</v>
      </c>
      <c r="O33" s="81" t="e">
        <f t="shared" si="1"/>
        <v>#VALUE!</v>
      </c>
    </row>
    <row r="34" spans="1:15" ht="15.75" customHeight="1" x14ac:dyDescent="0.15">
      <c r="A34" s="73" t="s">
        <v>33</v>
      </c>
      <c r="B34" s="74" t="s">
        <v>174</v>
      </c>
      <c r="C34" s="83" t="s">
        <v>526</v>
      </c>
      <c r="D34" s="83" t="s">
        <v>514</v>
      </c>
      <c r="E34" s="83" t="s">
        <v>580</v>
      </c>
      <c r="F34" s="75" t="s">
        <v>85</v>
      </c>
      <c r="G34" s="99" t="s">
        <v>85</v>
      </c>
      <c r="H34" s="100">
        <f t="shared" si="0"/>
        <v>1</v>
      </c>
      <c r="I34" s="78">
        <f>IF(F34="USD",D34*VLOOKUP(J34,'Kursy walut'!C:E,2,0),IF(F34="EUR",D34*VLOOKUP(J34,'Kursy walut'!C:E,3,0),D34))</f>
        <v>36495</v>
      </c>
      <c r="J34" s="79" t="s">
        <v>85</v>
      </c>
      <c r="K34" s="80">
        <f>D34/VLOOKUP(F34,'Kursy walut'!C:E,2,0)</f>
        <v>35698.914213049007</v>
      </c>
      <c r="L34" s="81" t="s">
        <v>86</v>
      </c>
      <c r="M34" s="82">
        <f>D34/VLOOKUP(F34,'Kursy walut'!C:E,3,0)</f>
        <v>36495</v>
      </c>
      <c r="N34" s="81" t="s">
        <v>85</v>
      </c>
      <c r="O34" s="81" t="e">
        <f t="shared" si="1"/>
        <v>#VALUE!</v>
      </c>
    </row>
    <row r="35" spans="1:15" ht="15.75" customHeight="1" x14ac:dyDescent="0.15">
      <c r="A35" s="73" t="s">
        <v>32</v>
      </c>
      <c r="B35" s="74" t="s">
        <v>114</v>
      </c>
      <c r="C35" s="95" t="s">
        <v>526</v>
      </c>
      <c r="D35" s="83" t="s">
        <v>595</v>
      </c>
      <c r="E35" s="83" t="s">
        <v>596</v>
      </c>
      <c r="F35" s="75" t="s">
        <v>85</v>
      </c>
      <c r="G35" s="99" t="s">
        <v>85</v>
      </c>
      <c r="H35" s="100">
        <f t="shared" si="0"/>
        <v>1</v>
      </c>
      <c r="I35" s="78">
        <f>IF(F35="USD",D35*VLOOKUP(J35,'Kursy walut'!C:E,2,0),IF(F35="EUR",D35*VLOOKUP(J35,'Kursy walut'!C:E,3,0),D35))</f>
        <v>36465</v>
      </c>
      <c r="J35" s="79" t="s">
        <v>85</v>
      </c>
      <c r="K35" s="80">
        <f>D35/VLOOKUP(F35,'Kursy walut'!C:E,2,0)</f>
        <v>35669.568619778933</v>
      </c>
      <c r="L35" s="81" t="s">
        <v>86</v>
      </c>
      <c r="M35" s="82">
        <f>D35/VLOOKUP(F35,'Kursy walut'!C:E,3,0)</f>
        <v>36465</v>
      </c>
      <c r="N35" s="81" t="s">
        <v>85</v>
      </c>
      <c r="O35" s="81" t="e">
        <f t="shared" si="1"/>
        <v>#VALUE!</v>
      </c>
    </row>
    <row r="36" spans="1:15" ht="15.75" customHeight="1" x14ac:dyDescent="0.15">
      <c r="A36" s="73" t="s">
        <v>31</v>
      </c>
      <c r="B36" s="74" t="s">
        <v>115</v>
      </c>
      <c r="C36" s="83" t="s">
        <v>597</v>
      </c>
      <c r="D36" s="83" t="s">
        <v>540</v>
      </c>
      <c r="E36" s="83" t="s">
        <v>580</v>
      </c>
      <c r="F36" s="75" t="s">
        <v>85</v>
      </c>
      <c r="G36" s="99" t="s">
        <v>85</v>
      </c>
      <c r="H36" s="100">
        <f t="shared" si="0"/>
        <v>1</v>
      </c>
      <c r="I36" s="78" t="e">
        <f>IF(F36="USD",D36*VLOOKUP(J36,'Kursy walut'!C:E,2,0),IF(F36="EUR",D36*VLOOKUP(J36,'Kursy walut'!C:E,3,0),D36))</f>
        <v>#VALUE!</v>
      </c>
      <c r="J36" s="79" t="s">
        <v>85</v>
      </c>
      <c r="K36" s="80" t="e">
        <f>D36/VLOOKUP(F36,'Kursy walut'!C:E,2,0)</f>
        <v>#VALUE!</v>
      </c>
      <c r="L36" s="81" t="s">
        <v>86</v>
      </c>
      <c r="M36" s="82" t="e">
        <f>D36/VLOOKUP(F36,'Kursy walut'!C:E,3,0)</f>
        <v>#VALUE!</v>
      </c>
      <c r="N36" s="81" t="s">
        <v>85</v>
      </c>
      <c r="O36" s="81" t="e">
        <f t="shared" si="1"/>
        <v>#VALUE!</v>
      </c>
    </row>
    <row r="37" spans="1:15" ht="15.75" customHeight="1" x14ac:dyDescent="0.15">
      <c r="A37" s="73" t="s">
        <v>598</v>
      </c>
      <c r="B37" s="74" t="s">
        <v>599</v>
      </c>
      <c r="C37" s="83" t="s">
        <v>600</v>
      </c>
      <c r="D37" s="83" t="s">
        <v>601</v>
      </c>
      <c r="E37" s="83" t="s">
        <v>576</v>
      </c>
      <c r="F37" s="83" t="s">
        <v>85</v>
      </c>
      <c r="G37" s="99" t="s">
        <v>294</v>
      </c>
      <c r="H37" s="100">
        <f t="shared" si="0"/>
        <v>0</v>
      </c>
      <c r="I37" s="78">
        <f>IF(F37="USD",D37*VLOOKUP(J37,'Kursy walut'!C:E,2,0),IF(F37="EUR",D37*VLOOKUP(J37,'Kursy walut'!C:E,3,0),D37))</f>
        <v>79749.684000000008</v>
      </c>
      <c r="J37" s="85" t="s">
        <v>294</v>
      </c>
      <c r="K37" s="80">
        <f>D37/VLOOKUP(F37,'Kursy walut'!C:E,2,0)</f>
        <v>28523.916658515114</v>
      </c>
      <c r="L37" s="81" t="s">
        <v>86</v>
      </c>
      <c r="M37" s="82">
        <f>D37/VLOOKUP(F37,'Kursy walut'!C:E,3,0)</f>
        <v>29160</v>
      </c>
      <c r="N37" s="81" t="s">
        <v>85</v>
      </c>
      <c r="O37" s="81" t="e">
        <f t="shared" si="1"/>
        <v>#VALUE!</v>
      </c>
    </row>
    <row r="38" spans="1:15" ht="15.75" customHeight="1" x14ac:dyDescent="0.15">
      <c r="A38" s="73" t="s">
        <v>602</v>
      </c>
      <c r="B38" s="74" t="s">
        <v>296</v>
      </c>
      <c r="C38" s="83" t="s">
        <v>522</v>
      </c>
      <c r="D38" s="83" t="s">
        <v>523</v>
      </c>
      <c r="E38" s="83" t="s">
        <v>524</v>
      </c>
      <c r="F38" s="83" t="s">
        <v>86</v>
      </c>
      <c r="G38" s="99" t="s">
        <v>297</v>
      </c>
      <c r="H38" s="100">
        <f t="shared" si="0"/>
        <v>0</v>
      </c>
      <c r="I38" s="78">
        <f>IF(F38="USD",D38*VLOOKUP(J38,'Kursy walut'!C:E,2,0),IF(F38="EUR",D38*VLOOKUP(J38,'Kursy walut'!C:E,3,0),D38))</f>
        <v>385907.88280000002</v>
      </c>
      <c r="J38" s="85" t="s">
        <v>297</v>
      </c>
      <c r="K38" s="80">
        <f>D38/VLOOKUP(F38,'Kursy walut'!C:E,2,0)</f>
        <v>36404</v>
      </c>
      <c r="L38" s="81" t="s">
        <v>86</v>
      </c>
      <c r="M38" s="82">
        <f>D38/VLOOKUP(F38,'Kursy walut'!C:E,3,0)</f>
        <v>37215.293396033536</v>
      </c>
      <c r="N38" s="81" t="s">
        <v>85</v>
      </c>
      <c r="O38" s="81" t="e">
        <f t="shared" si="1"/>
        <v>#VALUE!</v>
      </c>
    </row>
    <row r="39" spans="1:15" ht="15.75" customHeight="1" x14ac:dyDescent="0.15">
      <c r="A39" s="73" t="s">
        <v>40</v>
      </c>
      <c r="B39" s="74" t="s">
        <v>117</v>
      </c>
      <c r="C39" s="83" t="s">
        <v>526</v>
      </c>
      <c r="D39" s="83" t="s">
        <v>532</v>
      </c>
      <c r="E39" s="83" t="s">
        <v>576</v>
      </c>
      <c r="F39" s="75" t="s">
        <v>85</v>
      </c>
      <c r="G39" s="99" t="s">
        <v>85</v>
      </c>
      <c r="H39" s="100">
        <f t="shared" si="0"/>
        <v>1</v>
      </c>
      <c r="I39" s="78">
        <f>IF(F39="USD",D39*VLOOKUP(J39,'Kursy walut'!C:E,2,0),IF(F39="EUR",D39*VLOOKUP(J39,'Kursy walut'!C:E,3,0),D39))</f>
        <v>36434</v>
      </c>
      <c r="J39" s="79" t="s">
        <v>85</v>
      </c>
      <c r="K39" s="80">
        <f>D39/VLOOKUP(F39,'Kursy walut'!C:E,2,0)</f>
        <v>35639.244840066516</v>
      </c>
      <c r="L39" s="81" t="s">
        <v>86</v>
      </c>
      <c r="M39" s="82">
        <f>D39/VLOOKUP(F39,'Kursy walut'!C:E,3,0)</f>
        <v>36434</v>
      </c>
      <c r="N39" s="81" t="s">
        <v>85</v>
      </c>
      <c r="O39" s="81" t="e">
        <f t="shared" si="1"/>
        <v>#VALUE!</v>
      </c>
    </row>
    <row r="40" spans="1:15" ht="15.75" customHeight="1" x14ac:dyDescent="0.15">
      <c r="A40" s="73" t="s">
        <v>603</v>
      </c>
      <c r="B40" s="74" t="s">
        <v>604</v>
      </c>
      <c r="C40" s="83" t="s">
        <v>522</v>
      </c>
      <c r="D40" s="83" t="s">
        <v>532</v>
      </c>
      <c r="E40" s="83" t="s">
        <v>543</v>
      </c>
      <c r="F40" s="83" t="s">
        <v>86</v>
      </c>
      <c r="G40" s="99" t="s">
        <v>302</v>
      </c>
      <c r="H40" s="100">
        <f t="shared" si="0"/>
        <v>0</v>
      </c>
      <c r="I40" s="78">
        <f>IF(F40="USD",D40*VLOOKUP(J40,'Kursy walut'!C:E,2,0),IF(F40="EUR",D40*VLOOKUP(J40,'Kursy walut'!C:E,3,0),D40))</f>
        <v>287642.78659999999</v>
      </c>
      <c r="J40" s="85" t="s">
        <v>302</v>
      </c>
      <c r="K40" s="80">
        <f>D40/VLOOKUP(F40,'Kursy walut'!C:E,2,0)</f>
        <v>36434</v>
      </c>
      <c r="L40" s="81" t="s">
        <v>86</v>
      </c>
      <c r="M40" s="82">
        <f>D40/VLOOKUP(F40,'Kursy walut'!C:E,3,0)</f>
        <v>37245.961970967081</v>
      </c>
      <c r="N40" s="81" t="s">
        <v>85</v>
      </c>
      <c r="O40" s="81" t="e">
        <f t="shared" si="1"/>
        <v>#VALUE!</v>
      </c>
    </row>
    <row r="41" spans="1:15" ht="13" x14ac:dyDescent="0.15">
      <c r="A41" s="73" t="s">
        <v>65</v>
      </c>
      <c r="B41" s="74" t="s">
        <v>118</v>
      </c>
      <c r="C41" s="83" t="s">
        <v>605</v>
      </c>
      <c r="D41" s="83" t="s">
        <v>606</v>
      </c>
      <c r="E41" s="83" t="s">
        <v>607</v>
      </c>
      <c r="F41" s="83" t="s">
        <v>119</v>
      </c>
      <c r="G41" s="99" t="s">
        <v>119</v>
      </c>
      <c r="H41" s="100">
        <f t="shared" si="0"/>
        <v>1</v>
      </c>
      <c r="I41" s="78" t="str">
        <f>IF(F41="USD",D41*VLOOKUP(J41,'Kursy walut'!C:E,2,0),IF(F41="EUR",D41*VLOOKUP(J41,'Kursy walut'!C:E,3,0),D41))</f>
        <v>78.00</v>
      </c>
      <c r="J41" s="79" t="s">
        <v>119</v>
      </c>
      <c r="K41" s="80" t="e">
        <f>D41/VLOOKUP(F41,'Kursy walut'!C:E,2,0)</f>
        <v>#VALUE!</v>
      </c>
      <c r="L41" s="81" t="s">
        <v>86</v>
      </c>
      <c r="M41" s="82" t="e">
        <f>D41/VLOOKUP(F41,'Kursy walut'!C:E,3,0)</f>
        <v>#VALUE!</v>
      </c>
      <c r="N41" s="81" t="s">
        <v>85</v>
      </c>
      <c r="O41" s="81" t="e">
        <f t="shared" si="1"/>
        <v>#VALUE!</v>
      </c>
    </row>
    <row r="42" spans="1:15" ht="13" x14ac:dyDescent="0.15">
      <c r="A42" s="73" t="s">
        <v>608</v>
      </c>
      <c r="B42" s="74" t="s">
        <v>306</v>
      </c>
      <c r="C42" s="83" t="s">
        <v>522</v>
      </c>
      <c r="D42" s="83" t="s">
        <v>532</v>
      </c>
      <c r="E42" s="83" t="s">
        <v>543</v>
      </c>
      <c r="F42" s="83" t="s">
        <v>86</v>
      </c>
      <c r="G42" s="99" t="s">
        <v>307</v>
      </c>
      <c r="H42" s="100">
        <f t="shared" si="0"/>
        <v>0</v>
      </c>
      <c r="I42" s="78">
        <f>IF(F42="USD",D42*VLOOKUP(J42,'Kursy walut'!C:E,2,0),IF(F42="EUR",D42*VLOOKUP(J42,'Kursy walut'!C:E,3,0),D42))</f>
        <v>902553.97820000001</v>
      </c>
      <c r="J42" s="85" t="s">
        <v>307</v>
      </c>
      <c r="K42" s="80">
        <f>D42/VLOOKUP(F42,'Kursy walut'!C:E,2,0)</f>
        <v>36434</v>
      </c>
      <c r="L42" s="81" t="s">
        <v>86</v>
      </c>
      <c r="M42" s="82">
        <f>D42/VLOOKUP(F42,'Kursy walut'!C:E,3,0)</f>
        <v>37245.961970967081</v>
      </c>
      <c r="N42" s="81" t="s">
        <v>85</v>
      </c>
      <c r="O42" s="81" t="e">
        <f t="shared" si="1"/>
        <v>#VALUE!</v>
      </c>
    </row>
    <row r="43" spans="1:15" ht="13" x14ac:dyDescent="0.15">
      <c r="A43" s="73" t="s">
        <v>46</v>
      </c>
      <c r="B43" s="74" t="s">
        <v>107</v>
      </c>
      <c r="C43" s="75" t="s">
        <v>526</v>
      </c>
      <c r="D43" s="75" t="s">
        <v>523</v>
      </c>
      <c r="E43" s="75" t="s">
        <v>527</v>
      </c>
      <c r="F43" s="75" t="s">
        <v>85</v>
      </c>
      <c r="G43" s="99" t="s">
        <v>108</v>
      </c>
      <c r="H43" s="100">
        <f t="shared" si="0"/>
        <v>0</v>
      </c>
      <c r="I43" s="78">
        <f>IF(F43="USD",D43*VLOOKUP(J43,'Kursy walut'!C:E,2,0),IF(F43="EUR",D43*VLOOKUP(J43,'Kursy walut'!C:E,3,0),D43))</f>
        <v>276200.78840000002</v>
      </c>
      <c r="J43" s="85" t="s">
        <v>108</v>
      </c>
      <c r="K43" s="80">
        <f>D43/VLOOKUP(F43,'Kursy walut'!C:E,2,0)</f>
        <v>35609.899246796442</v>
      </c>
      <c r="L43" s="81" t="s">
        <v>86</v>
      </c>
      <c r="M43" s="82">
        <f>D43/VLOOKUP(F43,'Kursy walut'!C:E,3,0)</f>
        <v>36404</v>
      </c>
      <c r="N43" s="81" t="s">
        <v>85</v>
      </c>
      <c r="O43" s="81" t="e">
        <f t="shared" si="1"/>
        <v>#VALUE!</v>
      </c>
    </row>
    <row r="44" spans="1:15" ht="13" x14ac:dyDescent="0.15">
      <c r="A44" s="73" t="s">
        <v>72</v>
      </c>
      <c r="B44" s="74" t="s">
        <v>120</v>
      </c>
      <c r="C44" s="83" t="s">
        <v>609</v>
      </c>
      <c r="D44" s="83" t="s">
        <v>610</v>
      </c>
      <c r="E44" s="83" t="s">
        <v>611</v>
      </c>
      <c r="F44" s="83" t="s">
        <v>121</v>
      </c>
      <c r="G44" s="99" t="s">
        <v>121</v>
      </c>
      <c r="H44" s="100">
        <f t="shared" si="0"/>
        <v>1</v>
      </c>
      <c r="I44" s="78" t="str">
        <f>IF(F44="USD",D44*VLOOKUP(J44,'Kursy walut'!C:E,2,0),IF(F44="EUR",D44*VLOOKUP(J44,'Kursy walut'!C:E,3,0),D44))</f>
        <v>3,490.00</v>
      </c>
      <c r="J44" s="79" t="s">
        <v>121</v>
      </c>
      <c r="K44" s="80" t="e">
        <f>D44/VLOOKUP(F44,'Kursy walut'!C:E,2,0)</f>
        <v>#VALUE!</v>
      </c>
      <c r="L44" s="81" t="s">
        <v>86</v>
      </c>
      <c r="M44" s="82" t="e">
        <f>D44/VLOOKUP(F44,'Kursy walut'!C:E,3,0)</f>
        <v>#VALUE!</v>
      </c>
      <c r="N44" s="81" t="s">
        <v>85</v>
      </c>
      <c r="O44" s="81" t="e">
        <f t="shared" si="1"/>
        <v>#VALUE!</v>
      </c>
    </row>
    <row r="45" spans="1:15" ht="13" x14ac:dyDescent="0.15">
      <c r="A45" s="73" t="s">
        <v>76</v>
      </c>
      <c r="B45" s="74" t="s">
        <v>124</v>
      </c>
      <c r="C45" s="83" t="s">
        <v>612</v>
      </c>
      <c r="D45" s="83" t="s">
        <v>613</v>
      </c>
      <c r="E45" s="83" t="s">
        <v>614</v>
      </c>
      <c r="F45" s="83" t="s">
        <v>125</v>
      </c>
      <c r="G45" s="99" t="s">
        <v>125</v>
      </c>
      <c r="H45" s="100">
        <f t="shared" si="0"/>
        <v>1</v>
      </c>
      <c r="I45" s="78" t="str">
        <f>IF(F45="USD",D45*VLOOKUP(J45,'Kursy walut'!C:E,2,0),IF(F45="EUR",D45*VLOOKUP(J45,'Kursy walut'!C:E,3,0),D45))</f>
        <v>153,000.00</v>
      </c>
      <c r="J45" s="79" t="s">
        <v>125</v>
      </c>
      <c r="K45" s="80" t="e">
        <f>D45/VLOOKUP(F45,'Kursy walut'!C:E,2,0)</f>
        <v>#VALUE!</v>
      </c>
      <c r="L45" s="81" t="s">
        <v>86</v>
      </c>
      <c r="M45" s="82" t="e">
        <f>D45/VLOOKUP(F45,'Kursy walut'!C:E,3,0)</f>
        <v>#VALUE!</v>
      </c>
      <c r="N45" s="81" t="s">
        <v>85</v>
      </c>
      <c r="O45" s="81" t="e">
        <f t="shared" si="1"/>
        <v>#VALUE!</v>
      </c>
    </row>
    <row r="46" spans="1:15" ht="13" x14ac:dyDescent="0.15">
      <c r="A46" s="73" t="s">
        <v>30</v>
      </c>
      <c r="B46" s="74" t="s">
        <v>126</v>
      </c>
      <c r="C46" s="83" t="s">
        <v>597</v>
      </c>
      <c r="D46" s="83" t="s">
        <v>615</v>
      </c>
      <c r="E46" s="83" t="s">
        <v>616</v>
      </c>
      <c r="F46" s="75" t="s">
        <v>85</v>
      </c>
      <c r="G46" s="99" t="s">
        <v>85</v>
      </c>
      <c r="H46" s="100">
        <f t="shared" si="0"/>
        <v>1</v>
      </c>
      <c r="I46" s="78" t="e">
        <f>IF(F46="USD",D46*VLOOKUP(J46,'Kursy walut'!C:E,2,0),IF(F46="EUR",D46*VLOOKUP(J46,'Kursy walut'!C:E,3,0),D46))</f>
        <v>#VALUE!</v>
      </c>
      <c r="J46" s="79" t="s">
        <v>85</v>
      </c>
      <c r="K46" s="80" t="e">
        <f>D46/VLOOKUP(F46,'Kursy walut'!C:E,2,0)</f>
        <v>#VALUE!</v>
      </c>
      <c r="L46" s="81" t="s">
        <v>86</v>
      </c>
      <c r="M46" s="82" t="e">
        <f>D46/VLOOKUP(F46,'Kursy walut'!C:E,3,0)</f>
        <v>#VALUE!</v>
      </c>
      <c r="N46" s="81" t="s">
        <v>85</v>
      </c>
      <c r="O46" s="81" t="e">
        <f t="shared" si="1"/>
        <v>#VALUE!</v>
      </c>
    </row>
    <row r="47" spans="1:15" ht="13" x14ac:dyDescent="0.15">
      <c r="A47" s="73" t="s">
        <v>38</v>
      </c>
      <c r="B47" s="74" t="s">
        <v>127</v>
      </c>
      <c r="C47" s="83" t="s">
        <v>617</v>
      </c>
      <c r="D47" s="83" t="s">
        <v>618</v>
      </c>
      <c r="E47" s="83" t="s">
        <v>619</v>
      </c>
      <c r="F47" s="83" t="s">
        <v>128</v>
      </c>
      <c r="G47" s="99" t="s">
        <v>128</v>
      </c>
      <c r="H47" s="100">
        <f t="shared" si="0"/>
        <v>1</v>
      </c>
      <c r="I47" s="78" t="str">
        <f>IF(F47="USD",D47*VLOOKUP(J47,'Kursy walut'!C:E,2,0),IF(F47="EUR",D47*VLOOKUP(J47,'Kursy walut'!C:E,3,0),D47))</f>
        <v>54.90</v>
      </c>
      <c r="J47" s="79" t="s">
        <v>128</v>
      </c>
      <c r="K47" s="80" t="e">
        <f>D47/VLOOKUP(F47,'Kursy walut'!C:E,2,0)</f>
        <v>#VALUE!</v>
      </c>
      <c r="L47" s="81" t="s">
        <v>86</v>
      </c>
      <c r="M47" s="82" t="e">
        <f>D47/VLOOKUP(F47,'Kursy walut'!C:E,3,0)</f>
        <v>#VALUE!</v>
      </c>
      <c r="N47" s="81" t="s">
        <v>85</v>
      </c>
      <c r="O47" s="81" t="e">
        <f t="shared" si="1"/>
        <v>#VALUE!</v>
      </c>
    </row>
    <row r="48" spans="1:15" ht="13" x14ac:dyDescent="0.15">
      <c r="A48" s="73" t="s">
        <v>82</v>
      </c>
      <c r="B48" s="74" t="s">
        <v>122</v>
      </c>
      <c r="C48" s="83" t="s">
        <v>620</v>
      </c>
      <c r="D48" s="83" t="s">
        <v>621</v>
      </c>
      <c r="E48" s="83" t="s">
        <v>622</v>
      </c>
      <c r="F48" s="83" t="s">
        <v>123</v>
      </c>
      <c r="G48" s="99" t="s">
        <v>123</v>
      </c>
      <c r="H48" s="100">
        <f t="shared" si="0"/>
        <v>1</v>
      </c>
      <c r="I48" s="78" t="str">
        <f>IF(F48="USD",D48*VLOOKUP(J48,'Kursy walut'!C:E,2,0),IF(F48="EUR",D48*VLOOKUP(J48,'Kursy walut'!C:E,3,0),D48))</f>
        <v>499.00</v>
      </c>
      <c r="J48" s="79" t="s">
        <v>123</v>
      </c>
      <c r="K48" s="80" t="e">
        <f>D48/VLOOKUP(F48,'Kursy walut'!C:E,2,0)</f>
        <v>#VALUE!</v>
      </c>
      <c r="L48" s="81" t="s">
        <v>86</v>
      </c>
      <c r="M48" s="82" t="e">
        <f>D48/VLOOKUP(F48,'Kursy walut'!C:E,3,0)</f>
        <v>#VALUE!</v>
      </c>
      <c r="N48" s="81" t="s">
        <v>85</v>
      </c>
      <c r="O48" s="81" t="e">
        <f t="shared" si="1"/>
        <v>#VALUE!</v>
      </c>
    </row>
    <row r="49" spans="1:15" ht="13" x14ac:dyDescent="0.15">
      <c r="A49" s="73" t="s">
        <v>623</v>
      </c>
      <c r="B49" s="74" t="s">
        <v>624</v>
      </c>
      <c r="C49" s="83" t="s">
        <v>522</v>
      </c>
      <c r="D49" s="83" t="s">
        <v>523</v>
      </c>
      <c r="E49" s="83" t="s">
        <v>524</v>
      </c>
      <c r="F49" s="83" t="s">
        <v>86</v>
      </c>
      <c r="G49" s="99" t="s">
        <v>322</v>
      </c>
      <c r="H49" s="100">
        <f t="shared" si="0"/>
        <v>0</v>
      </c>
      <c r="I49" s="78">
        <f>IF(F49="USD",D49*VLOOKUP(J49,'Kursy walut'!C:E,2,0),IF(F49="EUR",D49*VLOOKUP(J49,'Kursy walut'!C:E,3,0),D49))</f>
        <v>53205326.976800002</v>
      </c>
      <c r="J49" s="85" t="s">
        <v>322</v>
      </c>
      <c r="K49" s="80">
        <f>D49/VLOOKUP(F49,'Kursy walut'!C:E,2,0)</f>
        <v>36404</v>
      </c>
      <c r="L49" s="81" t="s">
        <v>86</v>
      </c>
      <c r="M49" s="82">
        <f>D49/VLOOKUP(F49,'Kursy walut'!C:E,3,0)</f>
        <v>37215.293396033536</v>
      </c>
      <c r="N49" s="81" t="s">
        <v>85</v>
      </c>
      <c r="O49" s="81" t="e">
        <f t="shared" si="1"/>
        <v>#VALUE!</v>
      </c>
    </row>
    <row r="50" spans="1:15" ht="13" x14ac:dyDescent="0.15">
      <c r="A50" s="73" t="s">
        <v>625</v>
      </c>
      <c r="B50" s="74" t="s">
        <v>324</v>
      </c>
      <c r="C50" s="83" t="s">
        <v>522</v>
      </c>
      <c r="D50" s="83" t="s">
        <v>523</v>
      </c>
      <c r="E50" s="83" t="s">
        <v>524</v>
      </c>
      <c r="F50" s="83" t="s">
        <v>86</v>
      </c>
      <c r="G50" s="99" t="s">
        <v>325</v>
      </c>
      <c r="H50" s="100">
        <f t="shared" si="0"/>
        <v>0</v>
      </c>
      <c r="I50" s="78">
        <f>IF(F50="USD",D50*VLOOKUP(J50,'Kursy walut'!C:E,2,0),IF(F50="EUR",D50*VLOOKUP(J50,'Kursy walut'!C:E,3,0),D50))</f>
        <v>1540859974.5468001</v>
      </c>
      <c r="J50" s="85" t="s">
        <v>325</v>
      </c>
      <c r="K50" s="80">
        <f>D50/VLOOKUP(F50,'Kursy walut'!C:E,2,0)</f>
        <v>36404</v>
      </c>
      <c r="L50" s="81" t="s">
        <v>86</v>
      </c>
      <c r="M50" s="82">
        <f>D50/VLOOKUP(F50,'Kursy walut'!C:E,3,0)</f>
        <v>37215.293396033536</v>
      </c>
      <c r="N50" s="81" t="s">
        <v>85</v>
      </c>
      <c r="O50" s="81" t="e">
        <f t="shared" si="1"/>
        <v>#VALUE!</v>
      </c>
    </row>
    <row r="51" spans="1:15" ht="13" x14ac:dyDescent="0.15">
      <c r="A51" s="73" t="s">
        <v>626</v>
      </c>
      <c r="B51" s="74" t="s">
        <v>627</v>
      </c>
      <c r="C51" s="95" t="s">
        <v>526</v>
      </c>
      <c r="D51" s="83" t="s">
        <v>514</v>
      </c>
      <c r="E51" s="83" t="s">
        <v>580</v>
      </c>
      <c r="F51" s="83" t="s">
        <v>85</v>
      </c>
      <c r="G51" s="99" t="s">
        <v>328</v>
      </c>
      <c r="H51" s="100">
        <f t="shared" si="0"/>
        <v>0</v>
      </c>
      <c r="I51" s="78">
        <f>IF(F51="USD",D51*VLOOKUP(J51,'Kursy walut'!C:E,2,0),IF(F51="EUR",D51*VLOOKUP(J51,'Kursy walut'!C:E,3,0),D51))</f>
        <v>5159907.6164999995</v>
      </c>
      <c r="J51" s="85" t="s">
        <v>328</v>
      </c>
      <c r="K51" s="80">
        <f>D51/VLOOKUP(F51,'Kursy walut'!C:E,2,0)</f>
        <v>35698.914213049007</v>
      </c>
      <c r="L51" s="81" t="s">
        <v>86</v>
      </c>
      <c r="M51" s="82">
        <f>D51/VLOOKUP(F51,'Kursy walut'!C:E,3,0)</f>
        <v>36495</v>
      </c>
      <c r="N51" s="81" t="s">
        <v>85</v>
      </c>
      <c r="O51" s="81" t="e">
        <f t="shared" si="1"/>
        <v>#VALUE!</v>
      </c>
    </row>
    <row r="52" spans="1:15" ht="13" x14ac:dyDescent="0.15">
      <c r="A52" s="73" t="s">
        <v>34</v>
      </c>
      <c r="B52" s="74" t="s">
        <v>129</v>
      </c>
      <c r="C52" s="83" t="s">
        <v>526</v>
      </c>
      <c r="D52" s="83" t="s">
        <v>514</v>
      </c>
      <c r="E52" s="83" t="s">
        <v>580</v>
      </c>
      <c r="F52" s="75" t="s">
        <v>85</v>
      </c>
      <c r="G52" s="99" t="s">
        <v>85</v>
      </c>
      <c r="H52" s="100">
        <f t="shared" si="0"/>
        <v>1</v>
      </c>
      <c r="I52" s="78">
        <f>IF(F52="USD",D52*VLOOKUP(J52,'Kursy walut'!C:E,2,0),IF(F52="EUR",D52*VLOOKUP(J52,'Kursy walut'!C:E,3,0),D52))</f>
        <v>36495</v>
      </c>
      <c r="J52" s="79" t="s">
        <v>85</v>
      </c>
      <c r="K52" s="80">
        <f>D52/VLOOKUP(F52,'Kursy walut'!C:E,2,0)</f>
        <v>35698.914213049007</v>
      </c>
      <c r="L52" s="81" t="s">
        <v>86</v>
      </c>
      <c r="M52" s="82">
        <f>D52/VLOOKUP(F52,'Kursy walut'!C:E,3,0)</f>
        <v>36495</v>
      </c>
      <c r="N52" s="81" t="s">
        <v>85</v>
      </c>
      <c r="O52" s="81" t="e">
        <f t="shared" si="1"/>
        <v>#VALUE!</v>
      </c>
    </row>
    <row r="53" spans="1:15" ht="13" x14ac:dyDescent="0.15">
      <c r="A53" s="73" t="s">
        <v>628</v>
      </c>
      <c r="B53" s="74" t="s">
        <v>629</v>
      </c>
      <c r="C53" s="83" t="s">
        <v>522</v>
      </c>
      <c r="D53" s="83" t="s">
        <v>532</v>
      </c>
      <c r="E53" s="83" t="s">
        <v>543</v>
      </c>
      <c r="F53" s="83" t="s">
        <v>86</v>
      </c>
      <c r="G53" s="99" t="s">
        <v>333</v>
      </c>
      <c r="H53" s="100">
        <f t="shared" si="0"/>
        <v>0</v>
      </c>
      <c r="I53" s="78">
        <f>IF(F53="USD",D53*VLOOKUP(J53,'Kursy walut'!C:E,2,0),IF(F53="EUR",D53*VLOOKUP(J53,'Kursy walut'!C:E,3,0),D53))</f>
        <v>5570405.1902000001</v>
      </c>
      <c r="J53" s="85" t="s">
        <v>333</v>
      </c>
      <c r="K53" s="80">
        <f>D53/VLOOKUP(F53,'Kursy walut'!C:E,2,0)</f>
        <v>36434</v>
      </c>
      <c r="L53" s="81" t="s">
        <v>86</v>
      </c>
      <c r="M53" s="82">
        <f>D53/VLOOKUP(F53,'Kursy walut'!C:E,3,0)</f>
        <v>37245.961970967081</v>
      </c>
      <c r="N53" s="81" t="s">
        <v>85</v>
      </c>
      <c r="O53" s="81" t="e">
        <f t="shared" si="1"/>
        <v>#VALUE!</v>
      </c>
    </row>
    <row r="54" spans="1:15" ht="13" x14ac:dyDescent="0.15">
      <c r="A54" s="73" t="s">
        <v>630</v>
      </c>
      <c r="B54" s="74" t="s">
        <v>631</v>
      </c>
      <c r="C54" s="83" t="s">
        <v>522</v>
      </c>
      <c r="D54" s="83" t="s">
        <v>523</v>
      </c>
      <c r="E54" s="83" t="s">
        <v>524</v>
      </c>
      <c r="F54" s="83" t="s">
        <v>86</v>
      </c>
      <c r="G54" s="99" t="s">
        <v>336</v>
      </c>
      <c r="H54" s="100">
        <f t="shared" si="0"/>
        <v>0</v>
      </c>
      <c r="I54" s="78">
        <f>IF(F54="USD",D54*VLOOKUP(J54,'Kursy walut'!C:E,2,0),IF(F54="EUR",D54*VLOOKUP(J54,'Kursy walut'!C:E,3,0),D54))</f>
        <v>25810.435999999998</v>
      </c>
      <c r="J54" s="85" t="s">
        <v>336</v>
      </c>
      <c r="K54" s="80">
        <f>D54/VLOOKUP(F54,'Kursy walut'!C:E,2,0)</f>
        <v>36404</v>
      </c>
      <c r="L54" s="81" t="s">
        <v>86</v>
      </c>
      <c r="M54" s="82">
        <f>D54/VLOOKUP(F54,'Kursy walut'!C:E,3,0)</f>
        <v>37215.293396033536</v>
      </c>
      <c r="N54" s="81" t="s">
        <v>85</v>
      </c>
      <c r="O54" s="81" t="e">
        <f t="shared" si="1"/>
        <v>#VALUE!</v>
      </c>
    </row>
    <row r="55" spans="1:15" ht="13" x14ac:dyDescent="0.15">
      <c r="A55" s="73" t="s">
        <v>67</v>
      </c>
      <c r="B55" s="74" t="s">
        <v>130</v>
      </c>
      <c r="C55" s="83" t="s">
        <v>632</v>
      </c>
      <c r="D55" s="83" t="s">
        <v>633</v>
      </c>
      <c r="E55" s="83" t="s">
        <v>634</v>
      </c>
      <c r="F55" s="83" t="s">
        <v>131</v>
      </c>
      <c r="G55" s="99" t="s">
        <v>131</v>
      </c>
      <c r="H55" s="100">
        <f t="shared" si="0"/>
        <v>1</v>
      </c>
      <c r="I55" s="78" t="str">
        <f>IF(F55="USD",D55*VLOOKUP(J55,'Kursy walut'!C:E,2,0),IF(F55="EUR",D55*VLOOKUP(J55,'Kursy walut'!C:E,3,0),D55))</f>
        <v>1,490.00</v>
      </c>
      <c r="J55" s="79" t="s">
        <v>131</v>
      </c>
      <c r="K55" s="80" t="e">
        <f>D55/VLOOKUP(F55,'Kursy walut'!C:E,2,0)</f>
        <v>#VALUE!</v>
      </c>
      <c r="L55" s="81" t="s">
        <v>86</v>
      </c>
      <c r="M55" s="82" t="e">
        <f>D55/VLOOKUP(F55,'Kursy walut'!C:E,3,0)</f>
        <v>#VALUE!</v>
      </c>
      <c r="N55" s="81" t="s">
        <v>85</v>
      </c>
      <c r="O55" s="81" t="e">
        <f t="shared" si="1"/>
        <v>#VALUE!</v>
      </c>
    </row>
    <row r="56" spans="1:15" ht="13" x14ac:dyDescent="0.15">
      <c r="A56" s="73" t="s">
        <v>635</v>
      </c>
      <c r="B56" s="74" t="s">
        <v>636</v>
      </c>
      <c r="C56" s="83" t="s">
        <v>637</v>
      </c>
      <c r="D56" s="83" t="s">
        <v>638</v>
      </c>
      <c r="E56" s="83" t="s">
        <v>639</v>
      </c>
      <c r="F56" s="83" t="s">
        <v>341</v>
      </c>
      <c r="G56" s="99" t="s">
        <v>341</v>
      </c>
      <c r="H56" s="100">
        <f t="shared" si="0"/>
        <v>1</v>
      </c>
      <c r="I56" s="78" t="str">
        <f>IF(F56="USD",D56*VLOOKUP(J56,'Kursy walut'!C:E,2,0),IF(F56="EUR",D56*VLOOKUP(J56,'Kursy walut'!C:E,3,0),D56))</f>
        <v>1,100.00</v>
      </c>
      <c r="J56" s="79" t="s">
        <v>341</v>
      </c>
      <c r="K56" s="80" t="e">
        <f>D56/VLOOKUP(F56,'Kursy walut'!C:E,2,0)</f>
        <v>#VALUE!</v>
      </c>
      <c r="L56" s="81" t="s">
        <v>86</v>
      </c>
      <c r="M56" s="82" t="e">
        <f>D56/VLOOKUP(F56,'Kursy walut'!C:E,3,0)</f>
        <v>#VALUE!</v>
      </c>
      <c r="N56" s="81" t="s">
        <v>85</v>
      </c>
      <c r="O56" s="81" t="e">
        <f t="shared" si="1"/>
        <v>#VALUE!</v>
      </c>
    </row>
    <row r="57" spans="1:15" ht="13" x14ac:dyDescent="0.15">
      <c r="A57" s="73" t="s">
        <v>640</v>
      </c>
      <c r="B57" s="74" t="s">
        <v>641</v>
      </c>
      <c r="C57" s="83" t="s">
        <v>526</v>
      </c>
      <c r="D57" s="83" t="s">
        <v>523</v>
      </c>
      <c r="E57" s="83" t="s">
        <v>527</v>
      </c>
      <c r="F57" s="83" t="s">
        <v>85</v>
      </c>
      <c r="G57" s="99" t="s">
        <v>344</v>
      </c>
      <c r="H57" s="100">
        <f t="shared" si="0"/>
        <v>0</v>
      </c>
      <c r="I57" s="78">
        <f>IF(F57="USD",D57*VLOOKUP(J57,'Kursy walut'!C:E,2,0),IF(F57="EUR",D57*VLOOKUP(J57,'Kursy walut'!C:E,3,0),D57))</f>
        <v>2895949.1211999999</v>
      </c>
      <c r="J57" s="85" t="s">
        <v>344</v>
      </c>
      <c r="K57" s="80">
        <f>D57/VLOOKUP(F57,'Kursy walut'!C:E,2,0)</f>
        <v>35609.899246796442</v>
      </c>
      <c r="L57" s="81" t="s">
        <v>86</v>
      </c>
      <c r="M57" s="82">
        <f>D57/VLOOKUP(F57,'Kursy walut'!C:E,3,0)</f>
        <v>36404</v>
      </c>
      <c r="N57" s="81" t="s">
        <v>85</v>
      </c>
      <c r="O57" s="81" t="e">
        <f t="shared" si="1"/>
        <v>#VALUE!</v>
      </c>
    </row>
    <row r="58" spans="1:15" ht="13" x14ac:dyDescent="0.15">
      <c r="A58" s="73" t="s">
        <v>642</v>
      </c>
      <c r="B58" s="74" t="s">
        <v>643</v>
      </c>
      <c r="C58" s="83" t="s">
        <v>522</v>
      </c>
      <c r="D58" s="83" t="s">
        <v>523</v>
      </c>
      <c r="E58" s="83" t="s">
        <v>524</v>
      </c>
      <c r="F58" s="83" t="s">
        <v>86</v>
      </c>
      <c r="G58" s="99" t="s">
        <v>347</v>
      </c>
      <c r="H58" s="100">
        <f t="shared" si="0"/>
        <v>0</v>
      </c>
      <c r="I58" s="78">
        <f>IF(F58="USD",D58*VLOOKUP(J58,'Kursy walut'!C:E,2,0),IF(F58="EUR",D58*VLOOKUP(J58,'Kursy walut'!C:E,3,0),D58))</f>
        <v>150639238.70359999</v>
      </c>
      <c r="J58" s="85" t="s">
        <v>347</v>
      </c>
      <c r="K58" s="80">
        <f>D58/VLOOKUP(F58,'Kursy walut'!C:E,2,0)</f>
        <v>36404</v>
      </c>
      <c r="L58" s="81" t="s">
        <v>86</v>
      </c>
      <c r="M58" s="82">
        <f>D58/VLOOKUP(F58,'Kursy walut'!C:E,3,0)</f>
        <v>37215.293396033536</v>
      </c>
      <c r="N58" s="81" t="s">
        <v>85</v>
      </c>
      <c r="O58" s="81" t="e">
        <f t="shared" si="1"/>
        <v>#VALUE!</v>
      </c>
    </row>
    <row r="59" spans="1:15" ht="13" x14ac:dyDescent="0.15">
      <c r="A59" s="73" t="s">
        <v>60</v>
      </c>
      <c r="B59" s="74" t="s">
        <v>172</v>
      </c>
      <c r="C59" s="83" t="s">
        <v>644</v>
      </c>
      <c r="D59" s="83" t="s">
        <v>645</v>
      </c>
      <c r="E59" s="83" t="s">
        <v>646</v>
      </c>
      <c r="F59" s="83" t="s">
        <v>173</v>
      </c>
      <c r="G59" s="99" t="s">
        <v>173</v>
      </c>
      <c r="H59" s="100">
        <f t="shared" si="0"/>
        <v>1</v>
      </c>
      <c r="I59" s="78" t="str">
        <f>IF(F59="USD",D59*VLOOKUP(J59,'Kursy walut'!C:E,2,0),IF(F59="EUR",D59*VLOOKUP(J59,'Kursy walut'!C:E,3,0),D59))</f>
        <v>13,500.00</v>
      </c>
      <c r="J59" s="79" t="s">
        <v>173</v>
      </c>
      <c r="K59" s="80" t="e">
        <f>D59/VLOOKUP(F59,'Kursy walut'!C:E,2,0)</f>
        <v>#VALUE!</v>
      </c>
      <c r="L59" s="81" t="s">
        <v>86</v>
      </c>
      <c r="M59" s="82" t="e">
        <f>D59/VLOOKUP(F59,'Kursy walut'!C:E,3,0)</f>
        <v>#VALUE!</v>
      </c>
      <c r="N59" s="81" t="s">
        <v>85</v>
      </c>
      <c r="O59" s="81" t="e">
        <f t="shared" si="1"/>
        <v>#VALUE!</v>
      </c>
    </row>
    <row r="60" spans="1:15" ht="13" x14ac:dyDescent="0.15">
      <c r="A60" s="73" t="s">
        <v>647</v>
      </c>
      <c r="B60" s="74" t="s">
        <v>648</v>
      </c>
      <c r="C60" s="83" t="s">
        <v>522</v>
      </c>
      <c r="D60" s="83" t="s">
        <v>523</v>
      </c>
      <c r="E60" s="83" t="s">
        <v>649</v>
      </c>
      <c r="F60" s="83" t="s">
        <v>86</v>
      </c>
      <c r="G60" s="99" t="s">
        <v>352</v>
      </c>
      <c r="H60" s="100">
        <f t="shared" si="0"/>
        <v>0</v>
      </c>
      <c r="I60" s="78">
        <f>IF(F60="USD",D60*VLOOKUP(J60,'Kursy walut'!C:E,2,0),IF(F60="EUR",D60*VLOOKUP(J60,'Kursy walut'!C:E,3,0),D60))</f>
        <v>11285.24</v>
      </c>
      <c r="J60" s="85" t="s">
        <v>352</v>
      </c>
      <c r="K60" s="80">
        <f>D60/VLOOKUP(F60,'Kursy walut'!C:E,2,0)</f>
        <v>36404</v>
      </c>
      <c r="L60" s="81" t="s">
        <v>86</v>
      </c>
      <c r="M60" s="82">
        <f>D60/VLOOKUP(F60,'Kursy walut'!C:E,3,0)</f>
        <v>37215.293396033536</v>
      </c>
      <c r="N60" s="81" t="s">
        <v>85</v>
      </c>
      <c r="O60" s="81" t="e">
        <f t="shared" si="1"/>
        <v>#VALUE!</v>
      </c>
    </row>
    <row r="61" spans="1:15" ht="13" x14ac:dyDescent="0.15">
      <c r="A61" s="73" t="s">
        <v>49</v>
      </c>
      <c r="B61" s="74" t="s">
        <v>132</v>
      </c>
      <c r="C61" s="83" t="s">
        <v>526</v>
      </c>
      <c r="D61" s="83" t="s">
        <v>523</v>
      </c>
      <c r="E61" s="83" t="s">
        <v>527</v>
      </c>
      <c r="F61" s="83" t="s">
        <v>85</v>
      </c>
      <c r="G61" s="99" t="s">
        <v>133</v>
      </c>
      <c r="H61" s="100">
        <f t="shared" si="0"/>
        <v>0</v>
      </c>
      <c r="I61" s="78">
        <f>IF(F61="USD",D61*VLOOKUP(J61,'Kursy walut'!C:E,2,0),IF(F61="EUR",D61*VLOOKUP(J61,'Kursy walut'!C:E,3,0),D61))</f>
        <v>16896163.0372</v>
      </c>
      <c r="J61" s="85" t="s">
        <v>133</v>
      </c>
      <c r="K61" s="80">
        <f>D61/VLOOKUP(F61,'Kursy walut'!C:E,2,0)</f>
        <v>35609.899246796442</v>
      </c>
      <c r="L61" s="81" t="s">
        <v>86</v>
      </c>
      <c r="M61" s="82">
        <f>D61/VLOOKUP(F61,'Kursy walut'!C:E,3,0)</f>
        <v>36404</v>
      </c>
      <c r="N61" s="81" t="s">
        <v>85</v>
      </c>
      <c r="O61" s="81" t="e">
        <f t="shared" si="1"/>
        <v>#VALUE!</v>
      </c>
    </row>
    <row r="62" spans="1:15" ht="13" x14ac:dyDescent="0.15">
      <c r="A62" s="73" t="s">
        <v>650</v>
      </c>
      <c r="B62" s="74" t="s">
        <v>651</v>
      </c>
      <c r="C62" s="83" t="s">
        <v>522</v>
      </c>
      <c r="D62" s="83" t="s">
        <v>523</v>
      </c>
      <c r="E62" s="83" t="s">
        <v>524</v>
      </c>
      <c r="F62" s="83" t="s">
        <v>86</v>
      </c>
      <c r="G62" s="99" t="s">
        <v>357</v>
      </c>
      <c r="H62" s="100">
        <f t="shared" si="0"/>
        <v>0</v>
      </c>
      <c r="I62" s="78">
        <f>IF(F62="USD",D62*VLOOKUP(J62,'Kursy walut'!C:E,2,0),IF(F62="EUR",D62*VLOOKUP(J62,'Kursy walut'!C:E,3,0),D62))</f>
        <v>606703676.20799994</v>
      </c>
      <c r="J62" s="85" t="s">
        <v>357</v>
      </c>
      <c r="K62" s="80">
        <f>D62/VLOOKUP(F62,'Kursy walut'!C:E,2,0)</f>
        <v>36404</v>
      </c>
      <c r="L62" s="81" t="s">
        <v>86</v>
      </c>
      <c r="M62" s="82">
        <f>D62/VLOOKUP(F62,'Kursy walut'!C:E,3,0)</f>
        <v>37215.293396033536</v>
      </c>
      <c r="N62" s="81" t="s">
        <v>85</v>
      </c>
      <c r="O62" s="81" t="e">
        <f t="shared" si="1"/>
        <v>#VALUE!</v>
      </c>
    </row>
    <row r="63" spans="1:15" ht="13" x14ac:dyDescent="0.15">
      <c r="A63" s="73" t="s">
        <v>652</v>
      </c>
      <c r="B63" s="74" t="s">
        <v>364</v>
      </c>
      <c r="C63" s="83" t="s">
        <v>522</v>
      </c>
      <c r="D63" s="83" t="s">
        <v>523</v>
      </c>
      <c r="E63" s="83" t="s">
        <v>524</v>
      </c>
      <c r="F63" s="83" t="s">
        <v>86</v>
      </c>
      <c r="G63" s="99" t="s">
        <v>365</v>
      </c>
      <c r="H63" s="100">
        <f t="shared" si="0"/>
        <v>0</v>
      </c>
      <c r="I63" s="78">
        <f>IF(F63="USD",D63*VLOOKUP(J63,'Kursy walut'!C:E,2,0),IF(F63="EUR",D63*VLOOKUP(J63,'Kursy walut'!C:E,3,0),D63))</f>
        <v>13284671.453600001</v>
      </c>
      <c r="J63" s="85" t="s">
        <v>365</v>
      </c>
      <c r="K63" s="80">
        <f>D63/VLOOKUP(F63,'Kursy walut'!C:E,2,0)</f>
        <v>36404</v>
      </c>
      <c r="L63" s="81" t="s">
        <v>86</v>
      </c>
      <c r="M63" s="82">
        <f>D63/VLOOKUP(F63,'Kursy walut'!C:E,3,0)</f>
        <v>37215.293396033536</v>
      </c>
      <c r="N63" s="81" t="s">
        <v>85</v>
      </c>
      <c r="O63" s="81" t="e">
        <f t="shared" si="1"/>
        <v>#VALUE!</v>
      </c>
    </row>
    <row r="64" spans="1:15" ht="13" x14ac:dyDescent="0.15">
      <c r="A64" s="73" t="s">
        <v>43</v>
      </c>
      <c r="B64" s="74" t="s">
        <v>135</v>
      </c>
      <c r="C64" s="83" t="s">
        <v>526</v>
      </c>
      <c r="D64" s="83" t="s">
        <v>523</v>
      </c>
      <c r="E64" s="83" t="s">
        <v>527</v>
      </c>
      <c r="F64" s="75" t="s">
        <v>85</v>
      </c>
      <c r="G64" s="99" t="s">
        <v>85</v>
      </c>
      <c r="H64" s="100">
        <f t="shared" si="0"/>
        <v>1</v>
      </c>
      <c r="I64" s="78">
        <f>IF(F64="USD",D64*VLOOKUP(J64,'Kursy walut'!C:E,2,0),IF(F64="EUR",D64*VLOOKUP(J64,'Kursy walut'!C:E,3,0),D64))</f>
        <v>36404</v>
      </c>
      <c r="J64" s="79" t="s">
        <v>85</v>
      </c>
      <c r="K64" s="80">
        <f>D64/VLOOKUP(F64,'Kursy walut'!C:E,2,0)</f>
        <v>35609.899246796442</v>
      </c>
      <c r="L64" s="81" t="s">
        <v>86</v>
      </c>
      <c r="M64" s="82">
        <f>D64/VLOOKUP(F64,'Kursy walut'!C:E,3,0)</f>
        <v>36404</v>
      </c>
      <c r="N64" s="81" t="s">
        <v>85</v>
      </c>
      <c r="O64" s="81" t="e">
        <f t="shared" si="1"/>
        <v>#VALUE!</v>
      </c>
    </row>
    <row r="65" spans="1:15" ht="13" x14ac:dyDescent="0.15">
      <c r="A65" s="73" t="s">
        <v>653</v>
      </c>
      <c r="B65" s="74" t="s">
        <v>654</v>
      </c>
      <c r="C65" s="83" t="s">
        <v>597</v>
      </c>
      <c r="D65" s="83" t="s">
        <v>540</v>
      </c>
      <c r="E65" s="83" t="s">
        <v>580</v>
      </c>
      <c r="F65" s="75" t="s">
        <v>85</v>
      </c>
      <c r="G65" s="99" t="s">
        <v>85</v>
      </c>
      <c r="H65" s="100">
        <f t="shared" si="0"/>
        <v>1</v>
      </c>
      <c r="I65" s="78" t="e">
        <f>IF(F65="USD",D65*VLOOKUP(J65,'Kursy walut'!C:E,2,0),IF(F65="EUR",D65*VLOOKUP(J65,'Kursy walut'!C:E,3,0),D65))</f>
        <v>#VALUE!</v>
      </c>
      <c r="J65" s="79" t="s">
        <v>85</v>
      </c>
      <c r="K65" s="80" t="e">
        <f>D65/VLOOKUP(F65,'Kursy walut'!C:E,2,0)</f>
        <v>#VALUE!</v>
      </c>
      <c r="L65" s="81" t="s">
        <v>86</v>
      </c>
      <c r="M65" s="82" t="e">
        <f>D65/VLOOKUP(F65,'Kursy walut'!C:E,3,0)</f>
        <v>#VALUE!</v>
      </c>
      <c r="N65" s="81" t="s">
        <v>85</v>
      </c>
      <c r="O65" s="81" t="e">
        <f t="shared" si="1"/>
        <v>#VALUE!</v>
      </c>
    </row>
    <row r="66" spans="1:15" ht="13" x14ac:dyDescent="0.15">
      <c r="A66" s="73" t="s">
        <v>44</v>
      </c>
      <c r="B66" s="74" t="s">
        <v>134</v>
      </c>
      <c r="C66" s="83" t="s">
        <v>526</v>
      </c>
      <c r="D66" s="83" t="s">
        <v>523</v>
      </c>
      <c r="E66" s="83" t="s">
        <v>527</v>
      </c>
      <c r="F66" s="75" t="s">
        <v>85</v>
      </c>
      <c r="G66" s="99" t="s">
        <v>85</v>
      </c>
      <c r="H66" s="100">
        <f t="shared" si="0"/>
        <v>1</v>
      </c>
      <c r="I66" s="78">
        <f>IF(F66="USD",D66*VLOOKUP(J66,'Kursy walut'!C:E,2,0),IF(F66="EUR",D66*VLOOKUP(J66,'Kursy walut'!C:E,3,0),D66))</f>
        <v>36404</v>
      </c>
      <c r="J66" s="79" t="s">
        <v>85</v>
      </c>
      <c r="K66" s="80">
        <f>D66/VLOOKUP(F66,'Kursy walut'!C:E,2,0)</f>
        <v>35609.899246796442</v>
      </c>
      <c r="L66" s="81" t="s">
        <v>86</v>
      </c>
      <c r="M66" s="82">
        <f>D66/VLOOKUP(F66,'Kursy walut'!C:E,3,0)</f>
        <v>36404</v>
      </c>
      <c r="N66" s="81" t="s">
        <v>85</v>
      </c>
      <c r="O66" s="81" t="e">
        <f t="shared" si="1"/>
        <v>#VALUE!</v>
      </c>
    </row>
    <row r="67" spans="1:15" ht="13" x14ac:dyDescent="0.15">
      <c r="A67" s="73" t="s">
        <v>51</v>
      </c>
      <c r="B67" s="74" t="s">
        <v>140</v>
      </c>
      <c r="C67" s="83" t="s">
        <v>526</v>
      </c>
      <c r="D67" s="83" t="s">
        <v>523</v>
      </c>
      <c r="E67" s="83" t="s">
        <v>527</v>
      </c>
      <c r="F67" s="83" t="s">
        <v>85</v>
      </c>
      <c r="G67" s="99" t="s">
        <v>141</v>
      </c>
      <c r="H67" s="100">
        <f t="shared" si="0"/>
        <v>0</v>
      </c>
      <c r="I67" s="78">
        <f>IF(F67="USD",D67*VLOOKUP(J67,'Kursy walut'!C:E,2,0),IF(F67="EUR",D67*VLOOKUP(J67,'Kursy walut'!C:E,3,0),D67))</f>
        <v>692611.58279999997</v>
      </c>
      <c r="J67" s="85" t="s">
        <v>141</v>
      </c>
      <c r="K67" s="80">
        <f>D67/VLOOKUP(F67,'Kursy walut'!C:E,2,0)</f>
        <v>35609.899246796442</v>
      </c>
      <c r="L67" s="81" t="s">
        <v>86</v>
      </c>
      <c r="M67" s="82">
        <f>D67/VLOOKUP(F67,'Kursy walut'!C:E,3,0)</f>
        <v>36404</v>
      </c>
      <c r="N67" s="81" t="s">
        <v>85</v>
      </c>
      <c r="O67" s="81" t="e">
        <f t="shared" si="1"/>
        <v>#VALUE!</v>
      </c>
    </row>
    <row r="68" spans="1:15" ht="13" x14ac:dyDescent="0.15">
      <c r="A68" s="73" t="s">
        <v>55</v>
      </c>
      <c r="B68" s="74" t="s">
        <v>142</v>
      </c>
      <c r="C68" s="83" t="s">
        <v>526</v>
      </c>
      <c r="D68" s="83" t="s">
        <v>523</v>
      </c>
      <c r="E68" s="83" t="s">
        <v>527</v>
      </c>
      <c r="F68" s="75" t="s">
        <v>85</v>
      </c>
      <c r="G68" s="99" t="s">
        <v>85</v>
      </c>
      <c r="H68" s="100">
        <f t="shared" si="0"/>
        <v>1</v>
      </c>
      <c r="I68" s="78">
        <f>IF(F68="USD",D68*VLOOKUP(J68,'Kursy walut'!C:E,2,0),IF(F68="EUR",D68*VLOOKUP(J68,'Kursy walut'!C:E,3,0),D68))</f>
        <v>36404</v>
      </c>
      <c r="J68" s="79" t="s">
        <v>85</v>
      </c>
      <c r="K68" s="80">
        <f>D68/VLOOKUP(F68,'Kursy walut'!C:E,2,0)</f>
        <v>35609.899246796442</v>
      </c>
      <c r="L68" s="81" t="s">
        <v>86</v>
      </c>
      <c r="M68" s="82">
        <f>D68/VLOOKUP(F68,'Kursy walut'!C:E,3,0)</f>
        <v>36404</v>
      </c>
      <c r="N68" s="81" t="s">
        <v>85</v>
      </c>
      <c r="O68" s="81" t="e">
        <f t="shared" si="1"/>
        <v>#VALUE!</v>
      </c>
    </row>
    <row r="69" spans="1:15" ht="13" x14ac:dyDescent="0.15">
      <c r="A69" s="73" t="s">
        <v>655</v>
      </c>
      <c r="B69" s="74" t="s">
        <v>656</v>
      </c>
      <c r="C69" s="83" t="s">
        <v>522</v>
      </c>
      <c r="D69" s="83" t="s">
        <v>523</v>
      </c>
      <c r="E69" s="83" t="s">
        <v>524</v>
      </c>
      <c r="F69" s="83" t="s">
        <v>86</v>
      </c>
      <c r="G69" s="99" t="s">
        <v>381</v>
      </c>
      <c r="H69" s="100">
        <f t="shared" si="0"/>
        <v>0</v>
      </c>
      <c r="I69" s="78">
        <f>IF(F69="USD",D69*VLOOKUP(J69,'Kursy walut'!C:E,2,0),IF(F69="EUR",D69*VLOOKUP(J69,'Kursy walut'!C:E,3,0),D69))</f>
        <v>153776229.63</v>
      </c>
      <c r="J69" s="85" t="s">
        <v>381</v>
      </c>
      <c r="K69" s="80">
        <f>D69/VLOOKUP(F69,'Kursy walut'!C:E,2,0)</f>
        <v>36404</v>
      </c>
      <c r="L69" s="81" t="s">
        <v>86</v>
      </c>
      <c r="M69" s="82">
        <f>D69/VLOOKUP(F69,'Kursy walut'!C:E,3,0)</f>
        <v>37215.293396033536</v>
      </c>
      <c r="N69" s="81" t="s">
        <v>85</v>
      </c>
      <c r="O69" s="81" t="e">
        <f t="shared" si="1"/>
        <v>#VALUE!</v>
      </c>
    </row>
    <row r="70" spans="1:15" ht="13" x14ac:dyDescent="0.15">
      <c r="A70" s="73" t="s">
        <v>56</v>
      </c>
      <c r="B70" s="74" t="s">
        <v>148</v>
      </c>
      <c r="C70" s="83" t="s">
        <v>526</v>
      </c>
      <c r="D70" s="83" t="s">
        <v>523</v>
      </c>
      <c r="E70" s="83" t="s">
        <v>527</v>
      </c>
      <c r="F70" s="83" t="s">
        <v>85</v>
      </c>
      <c r="G70" s="99" t="s">
        <v>149</v>
      </c>
      <c r="H70" s="100">
        <f t="shared" si="0"/>
        <v>0</v>
      </c>
      <c r="I70" s="78">
        <f>IF(F70="USD",D70*VLOOKUP(J70,'Kursy walut'!C:E,2,0),IF(F70="EUR",D70*VLOOKUP(J70,'Kursy walut'!C:E,3,0),D70))</f>
        <v>2242595.6120000002</v>
      </c>
      <c r="J70" s="85" t="s">
        <v>149</v>
      </c>
      <c r="K70" s="80">
        <f>D70/VLOOKUP(F70,'Kursy walut'!C:E,2,0)</f>
        <v>35609.899246796442</v>
      </c>
      <c r="L70" s="81" t="s">
        <v>86</v>
      </c>
      <c r="M70" s="82">
        <f>D70/VLOOKUP(F70,'Kursy walut'!C:E,3,0)</f>
        <v>36404</v>
      </c>
      <c r="N70" s="81" t="s">
        <v>85</v>
      </c>
      <c r="O70" s="81" t="e">
        <f t="shared" si="1"/>
        <v>#VALUE!</v>
      </c>
    </row>
    <row r="71" spans="1:15" ht="13" x14ac:dyDescent="0.15">
      <c r="A71" s="73" t="s">
        <v>657</v>
      </c>
      <c r="B71" s="74" t="s">
        <v>385</v>
      </c>
      <c r="C71" s="83" t="s">
        <v>526</v>
      </c>
      <c r="D71" s="83" t="s">
        <v>514</v>
      </c>
      <c r="E71" s="83" t="s">
        <v>580</v>
      </c>
      <c r="F71" s="75" t="s">
        <v>85</v>
      </c>
      <c r="G71" s="99" t="s">
        <v>85</v>
      </c>
      <c r="H71" s="100">
        <f t="shared" si="0"/>
        <v>1</v>
      </c>
      <c r="I71" s="78">
        <f>IF(F71="USD",D71*VLOOKUP(J71,'Kursy walut'!C:E,2,0),IF(F71="EUR",D71*VLOOKUP(J71,'Kursy walut'!C:E,3,0),D71))</f>
        <v>36495</v>
      </c>
      <c r="J71" s="79" t="s">
        <v>85</v>
      </c>
      <c r="K71" s="80">
        <f>D71/VLOOKUP(F71,'Kursy walut'!C:E,2,0)</f>
        <v>35698.914213049007</v>
      </c>
      <c r="L71" s="81" t="s">
        <v>86</v>
      </c>
      <c r="M71" s="82">
        <f>D71/VLOOKUP(F71,'Kursy walut'!C:E,3,0)</f>
        <v>36495</v>
      </c>
      <c r="N71" s="81" t="s">
        <v>85</v>
      </c>
      <c r="O71" s="81" t="e">
        <f t="shared" si="1"/>
        <v>#VALUE!</v>
      </c>
    </row>
    <row r="72" spans="1:15" ht="13" x14ac:dyDescent="0.15">
      <c r="A72" s="73" t="s">
        <v>658</v>
      </c>
      <c r="B72" s="74" t="s">
        <v>387</v>
      </c>
      <c r="C72" s="83" t="s">
        <v>522</v>
      </c>
      <c r="D72" s="83" t="s">
        <v>523</v>
      </c>
      <c r="E72" s="83" t="s">
        <v>524</v>
      </c>
      <c r="F72" s="83" t="s">
        <v>86</v>
      </c>
      <c r="G72" s="99" t="s">
        <v>388</v>
      </c>
      <c r="H72" s="100">
        <f t="shared" si="0"/>
        <v>0</v>
      </c>
      <c r="I72" s="78">
        <f>IF(F72="USD",D72*VLOOKUP(J72,'Kursy walut'!C:E,2,0),IF(F72="EUR",D72*VLOOKUP(J72,'Kursy walut'!C:E,3,0),D72))</f>
        <v>1641834.9616</v>
      </c>
      <c r="J72" s="85" t="s">
        <v>388</v>
      </c>
      <c r="K72" s="80">
        <f>D72/VLOOKUP(F72,'Kursy walut'!C:E,2,0)</f>
        <v>36404</v>
      </c>
      <c r="L72" s="81" t="s">
        <v>86</v>
      </c>
      <c r="M72" s="82">
        <f>D72/VLOOKUP(F72,'Kursy walut'!C:E,3,0)</f>
        <v>37215.293396033536</v>
      </c>
      <c r="N72" s="81" t="s">
        <v>85</v>
      </c>
      <c r="O72" s="81" t="e">
        <f t="shared" si="1"/>
        <v>#VALUE!</v>
      </c>
    </row>
    <row r="73" spans="1:15" ht="13" x14ac:dyDescent="0.15">
      <c r="A73" s="73" t="s">
        <v>58</v>
      </c>
      <c r="B73" s="74" t="s">
        <v>138</v>
      </c>
      <c r="C73" s="83" t="s">
        <v>659</v>
      </c>
      <c r="D73" s="83" t="s">
        <v>660</v>
      </c>
      <c r="E73" s="83" t="s">
        <v>661</v>
      </c>
      <c r="F73" s="83" t="s">
        <v>139</v>
      </c>
      <c r="G73" s="99" t="s">
        <v>139</v>
      </c>
      <c r="H73" s="100">
        <f t="shared" si="0"/>
        <v>1</v>
      </c>
      <c r="I73" s="78" t="str">
        <f>IF(F73="USD",D73*VLOOKUP(J73,'Kursy walut'!C:E,2,0),IF(F73="EUR",D73*VLOOKUP(J73,'Kursy walut'!C:E,3,0),D73))</f>
        <v>219.00</v>
      </c>
      <c r="J73" s="79" t="s">
        <v>139</v>
      </c>
      <c r="K73" s="80" t="e">
        <f>D73/VLOOKUP(F73,'Kursy walut'!C:E,2,0)</f>
        <v>#VALUE!</v>
      </c>
      <c r="L73" s="81" t="s">
        <v>86</v>
      </c>
      <c r="M73" s="82" t="e">
        <f>D73/VLOOKUP(F73,'Kursy walut'!C:E,3,0)</f>
        <v>#VALUE!</v>
      </c>
      <c r="N73" s="81" t="s">
        <v>85</v>
      </c>
      <c r="O73" s="81" t="e">
        <f t="shared" si="1"/>
        <v>#VALUE!</v>
      </c>
    </row>
    <row r="74" spans="1:15" ht="13" x14ac:dyDescent="0.15">
      <c r="A74" s="73" t="s">
        <v>73</v>
      </c>
      <c r="B74" s="74" t="s">
        <v>136</v>
      </c>
      <c r="C74" s="83" t="s">
        <v>662</v>
      </c>
      <c r="D74" s="83" t="s">
        <v>663</v>
      </c>
      <c r="E74" s="83" t="s">
        <v>664</v>
      </c>
      <c r="F74" s="83" t="s">
        <v>137</v>
      </c>
      <c r="G74" s="99" t="s">
        <v>137</v>
      </c>
      <c r="H74" s="100">
        <f t="shared" si="0"/>
        <v>1</v>
      </c>
      <c r="I74" s="78" t="str">
        <f>IF(F74="USD",D74*VLOOKUP(J74,'Kursy walut'!C:E,2,0),IF(F74="EUR",D74*VLOOKUP(J74,'Kursy walut'!C:E,3,0),D74))</f>
        <v>45.00</v>
      </c>
      <c r="J74" s="79" t="s">
        <v>137</v>
      </c>
      <c r="K74" s="80" t="e">
        <f>D74/VLOOKUP(F74,'Kursy walut'!C:E,2,0)</f>
        <v>#VALUE!</v>
      </c>
      <c r="L74" s="81" t="s">
        <v>86</v>
      </c>
      <c r="M74" s="82" t="e">
        <f>D74/VLOOKUP(F74,'Kursy walut'!C:E,3,0)</f>
        <v>#VALUE!</v>
      </c>
      <c r="N74" s="81" t="s">
        <v>85</v>
      </c>
      <c r="O74" s="81" t="e">
        <f t="shared" si="1"/>
        <v>#VALUE!</v>
      </c>
    </row>
    <row r="75" spans="1:15" ht="13" x14ac:dyDescent="0.15">
      <c r="A75" s="73" t="s">
        <v>665</v>
      </c>
      <c r="B75" s="74" t="s">
        <v>666</v>
      </c>
      <c r="C75" s="83" t="s">
        <v>522</v>
      </c>
      <c r="D75" s="83" t="s">
        <v>523</v>
      </c>
      <c r="E75" s="83" t="s">
        <v>524</v>
      </c>
      <c r="F75" s="83" t="s">
        <v>86</v>
      </c>
      <c r="G75" s="99" t="s">
        <v>667</v>
      </c>
      <c r="H75" s="100">
        <f t="shared" si="0"/>
        <v>0</v>
      </c>
      <c r="I75" s="78"/>
      <c r="J75" s="85" t="s">
        <v>667</v>
      </c>
      <c r="K75" s="80">
        <f>D75/VLOOKUP(F75,'Kursy walut'!C:E,2,0)</f>
        <v>36404</v>
      </c>
      <c r="L75" s="81" t="s">
        <v>86</v>
      </c>
      <c r="M75" s="82">
        <f>D75/VLOOKUP(F75,'Kursy walut'!C:E,3,0)</f>
        <v>37215.293396033536</v>
      </c>
      <c r="N75" s="81" t="s">
        <v>85</v>
      </c>
      <c r="O75" s="81" t="e">
        <f t="shared" si="1"/>
        <v>#VALUE!</v>
      </c>
    </row>
    <row r="76" spans="1:15" ht="13" x14ac:dyDescent="0.15">
      <c r="A76" s="73" t="s">
        <v>668</v>
      </c>
      <c r="B76" s="74" t="s">
        <v>394</v>
      </c>
      <c r="C76" s="83" t="s">
        <v>522</v>
      </c>
      <c r="D76" s="83" t="s">
        <v>523</v>
      </c>
      <c r="E76" s="83" t="s">
        <v>524</v>
      </c>
      <c r="F76" s="83" t="s">
        <v>86</v>
      </c>
      <c r="G76" s="99" t="s">
        <v>395</v>
      </c>
      <c r="H76" s="100">
        <f t="shared" si="0"/>
        <v>0</v>
      </c>
      <c r="I76" s="78">
        <f>IF(F76="USD",D76*VLOOKUP(J76,'Kursy walut'!C:E,2,0),IF(F76="EUR",D76*VLOOKUP(J76,'Kursy walut'!C:E,3,0),D76))</f>
        <v>655879.94680000003</v>
      </c>
      <c r="J76" s="85" t="s">
        <v>395</v>
      </c>
      <c r="K76" s="80">
        <f>D76/VLOOKUP(F76,'Kursy walut'!C:E,2,0)</f>
        <v>36404</v>
      </c>
      <c r="L76" s="81" t="s">
        <v>86</v>
      </c>
      <c r="M76" s="82">
        <f>D76/VLOOKUP(F76,'Kursy walut'!C:E,3,0)</f>
        <v>37215.293396033536</v>
      </c>
      <c r="N76" s="81" t="s">
        <v>85</v>
      </c>
      <c r="O76" s="81" t="e">
        <f t="shared" si="1"/>
        <v>#VALUE!</v>
      </c>
    </row>
    <row r="77" spans="1:15" ht="13" x14ac:dyDescent="0.15">
      <c r="A77" s="73" t="s">
        <v>66</v>
      </c>
      <c r="B77" s="74" t="s">
        <v>146</v>
      </c>
      <c r="C77" s="83" t="s">
        <v>669</v>
      </c>
      <c r="D77" s="83" t="s">
        <v>670</v>
      </c>
      <c r="E77" s="83" t="s">
        <v>671</v>
      </c>
      <c r="F77" s="83" t="s">
        <v>147</v>
      </c>
      <c r="G77" s="99" t="s">
        <v>147</v>
      </c>
      <c r="H77" s="100">
        <f t="shared" si="0"/>
        <v>1</v>
      </c>
      <c r="I77" s="78" t="str">
        <f>IF(F77="USD",D77*VLOOKUP(J77,'Kursy walut'!C:E,2,0),IF(F77="EUR",D77*VLOOKUP(J77,'Kursy walut'!C:E,3,0),D77))</f>
        <v>3,600.00</v>
      </c>
      <c r="J77" s="79" t="s">
        <v>147</v>
      </c>
      <c r="K77" s="80" t="e">
        <f>D77/VLOOKUP(F77,'Kursy walut'!C:E,2,0)</f>
        <v>#VALUE!</v>
      </c>
      <c r="L77" s="81" t="s">
        <v>86</v>
      </c>
      <c r="M77" s="82" t="e">
        <f>D77/VLOOKUP(F77,'Kursy walut'!C:E,3,0)</f>
        <v>#VALUE!</v>
      </c>
      <c r="N77" s="81" t="s">
        <v>85</v>
      </c>
      <c r="O77" s="81" t="e">
        <f t="shared" si="1"/>
        <v>#VALUE!</v>
      </c>
    </row>
    <row r="78" spans="1:15" ht="13" x14ac:dyDescent="0.15">
      <c r="A78" s="73" t="s">
        <v>672</v>
      </c>
      <c r="B78" s="74" t="s">
        <v>673</v>
      </c>
      <c r="C78" s="83" t="s">
        <v>522</v>
      </c>
      <c r="D78" s="83" t="s">
        <v>532</v>
      </c>
      <c r="E78" s="83" t="s">
        <v>543</v>
      </c>
      <c r="F78" s="83" t="s">
        <v>86</v>
      </c>
      <c r="G78" s="99" t="s">
        <v>399</v>
      </c>
      <c r="H78" s="100">
        <f t="shared" si="0"/>
        <v>0</v>
      </c>
      <c r="I78" s="78">
        <f>IF(F78="USD",D78*VLOOKUP(J78,'Kursy walut'!C:E,2,0),IF(F78="EUR",D78*VLOOKUP(J78,'Kursy walut'!C:E,3,0),D78))</f>
        <v>1312050.2777999998</v>
      </c>
      <c r="J78" s="85" t="s">
        <v>399</v>
      </c>
      <c r="K78" s="80">
        <f>D78/VLOOKUP(F78,'Kursy walut'!C:E,2,0)</f>
        <v>36434</v>
      </c>
      <c r="L78" s="81" t="s">
        <v>86</v>
      </c>
      <c r="M78" s="82">
        <f>D78/VLOOKUP(F78,'Kursy walut'!C:E,3,0)</f>
        <v>37245.961970967081</v>
      </c>
      <c r="N78" s="81" t="s">
        <v>85</v>
      </c>
      <c r="O78" s="81" t="e">
        <f t="shared" si="1"/>
        <v>#VALUE!</v>
      </c>
    </row>
    <row r="79" spans="1:15" ht="13" x14ac:dyDescent="0.15">
      <c r="A79" s="73" t="s">
        <v>39</v>
      </c>
      <c r="B79" s="74" t="s">
        <v>143</v>
      </c>
      <c r="C79" s="83" t="s">
        <v>526</v>
      </c>
      <c r="D79" s="83" t="s">
        <v>595</v>
      </c>
      <c r="E79" s="83" t="s">
        <v>596</v>
      </c>
      <c r="F79" s="75" t="s">
        <v>85</v>
      </c>
      <c r="G79" s="99" t="s">
        <v>85</v>
      </c>
      <c r="H79" s="100">
        <f t="shared" si="0"/>
        <v>1</v>
      </c>
      <c r="I79" s="78">
        <f>IF(F79="USD",D79*VLOOKUP(J79,'Kursy walut'!C:E,2,0),IF(F79="EUR",D79*VLOOKUP(J79,'Kursy walut'!C:E,3,0),D79))</f>
        <v>36465</v>
      </c>
      <c r="J79" s="79" t="s">
        <v>85</v>
      </c>
      <c r="K79" s="80">
        <f>D79/VLOOKUP(F79,'Kursy walut'!C:E,2,0)</f>
        <v>35669.568619778933</v>
      </c>
      <c r="L79" s="81" t="s">
        <v>86</v>
      </c>
      <c r="M79" s="82">
        <f>D79/VLOOKUP(F79,'Kursy walut'!C:E,3,0)</f>
        <v>36465</v>
      </c>
      <c r="N79" s="81" t="s">
        <v>85</v>
      </c>
      <c r="O79" s="81" t="e">
        <f t="shared" si="1"/>
        <v>#VALUE!</v>
      </c>
    </row>
    <row r="80" spans="1:15" ht="13" x14ac:dyDescent="0.15">
      <c r="A80" s="73" t="s">
        <v>35</v>
      </c>
      <c r="B80" s="74" t="s">
        <v>150</v>
      </c>
      <c r="C80" s="83" t="s">
        <v>674</v>
      </c>
      <c r="D80" s="83" t="s">
        <v>675</v>
      </c>
      <c r="E80" s="83" t="s">
        <v>676</v>
      </c>
      <c r="F80" s="83" t="s">
        <v>151</v>
      </c>
      <c r="G80" s="99" t="s">
        <v>151</v>
      </c>
      <c r="H80" s="100">
        <f t="shared" si="0"/>
        <v>1</v>
      </c>
      <c r="I80" s="78" t="str">
        <f>IF(F80="USD",D80*VLOOKUP(J80,'Kursy walut'!C:E,2,0),IF(F80="EUR",D80*VLOOKUP(J80,'Kursy walut'!C:E,3,0),D80))</f>
        <v>109.00</v>
      </c>
      <c r="J80" s="79" t="s">
        <v>151</v>
      </c>
      <c r="K80" s="80" t="e">
        <f>D80/VLOOKUP(F80,'Kursy walut'!C:E,2,0)</f>
        <v>#VALUE!</v>
      </c>
      <c r="L80" s="81" t="s">
        <v>86</v>
      </c>
      <c r="M80" s="82" t="e">
        <f>D80/VLOOKUP(F80,'Kursy walut'!C:E,3,0)</f>
        <v>#VALUE!</v>
      </c>
      <c r="N80" s="81" t="s">
        <v>85</v>
      </c>
      <c r="O80" s="81" t="e">
        <f t="shared" si="1"/>
        <v>#VALUE!</v>
      </c>
    </row>
    <row r="81" spans="1:15" ht="13" x14ac:dyDescent="0.15">
      <c r="A81" s="73" t="s">
        <v>48</v>
      </c>
      <c r="B81" s="74" t="s">
        <v>144</v>
      </c>
      <c r="C81" s="83" t="s">
        <v>677</v>
      </c>
      <c r="D81" s="83" t="s">
        <v>678</v>
      </c>
      <c r="E81" s="83" t="s">
        <v>679</v>
      </c>
      <c r="F81" s="83" t="s">
        <v>145</v>
      </c>
      <c r="G81" s="99" t="s">
        <v>145</v>
      </c>
      <c r="H81" s="100">
        <f t="shared" si="0"/>
        <v>1</v>
      </c>
      <c r="I81" s="78" t="str">
        <f>IF(F81="USD",D81*VLOOKUP(J81,'Kursy walut'!C:E,2,0),IF(F81="EUR",D81*VLOOKUP(J81,'Kursy walut'!C:E,3,0),D81))</f>
        <v>18.49</v>
      </c>
      <c r="J81" s="79" t="s">
        <v>145</v>
      </c>
      <c r="K81" s="80" t="e">
        <f>D81/VLOOKUP(F81,'Kursy walut'!C:E,2,0)</f>
        <v>#VALUE!</v>
      </c>
      <c r="L81" s="81" t="s">
        <v>86</v>
      </c>
      <c r="M81" s="82" t="e">
        <f>D81/VLOOKUP(F81,'Kursy walut'!C:E,3,0)</f>
        <v>#VALUE!</v>
      </c>
      <c r="N81" s="81" t="s">
        <v>85</v>
      </c>
      <c r="O81" s="81" t="e">
        <f t="shared" si="1"/>
        <v>#VALUE!</v>
      </c>
    </row>
    <row r="82" spans="1:15" ht="13" x14ac:dyDescent="0.15">
      <c r="A82" s="73" t="s">
        <v>680</v>
      </c>
      <c r="B82" s="74" t="s">
        <v>410</v>
      </c>
      <c r="C82" s="83" t="s">
        <v>681</v>
      </c>
      <c r="D82" s="83" t="s">
        <v>682</v>
      </c>
      <c r="E82" s="83" t="s">
        <v>683</v>
      </c>
      <c r="F82" s="83" t="s">
        <v>86</v>
      </c>
      <c r="G82" s="99" t="s">
        <v>411</v>
      </c>
      <c r="H82" s="100">
        <f t="shared" si="0"/>
        <v>0</v>
      </c>
      <c r="I82" s="78">
        <f>IF(F82="USD",D82*VLOOKUP(J82,'Kursy walut'!C:E,2,0),IF(F82="EUR",D82*VLOOKUP(J82,'Kursy walut'!C:E,3,0),D82))</f>
        <v>6996.22</v>
      </c>
      <c r="J82" s="85" t="s">
        <v>411</v>
      </c>
      <c r="K82" s="80">
        <f>D82/VLOOKUP(F82,'Kursy walut'!C:E,2,0)</f>
        <v>18172</v>
      </c>
      <c r="L82" s="81" t="s">
        <v>86</v>
      </c>
      <c r="M82" s="82">
        <f>D82/VLOOKUP(F82,'Kursy walut'!C:E,3,0)</f>
        <v>18576.978123083216</v>
      </c>
      <c r="N82" s="81" t="s">
        <v>85</v>
      </c>
      <c r="O82" s="81" t="e">
        <f t="shared" si="1"/>
        <v>#VALUE!</v>
      </c>
    </row>
    <row r="83" spans="1:15" ht="13" x14ac:dyDescent="0.15">
      <c r="A83" s="73" t="s">
        <v>684</v>
      </c>
      <c r="B83" s="74" t="s">
        <v>413</v>
      </c>
      <c r="C83" s="83" t="s">
        <v>570</v>
      </c>
      <c r="D83" s="83" t="s">
        <v>514</v>
      </c>
      <c r="E83" s="83" t="s">
        <v>571</v>
      </c>
      <c r="F83" s="83" t="s">
        <v>86</v>
      </c>
      <c r="G83" s="99" t="s">
        <v>414</v>
      </c>
      <c r="H83" s="100">
        <f t="shared" si="0"/>
        <v>0</v>
      </c>
      <c r="I83" s="78">
        <f>IF(F83="USD",D83*VLOOKUP(J83,'Kursy walut'!C:E,2,0),IF(F83="EUR",D83*VLOOKUP(J83,'Kursy walut'!C:E,3,0),D83))</f>
        <v>36538.794000000002</v>
      </c>
      <c r="J83" s="85" t="s">
        <v>414</v>
      </c>
      <c r="K83" s="80">
        <f>D83/VLOOKUP(F83,'Kursy walut'!C:E,2,0)</f>
        <v>36495</v>
      </c>
      <c r="L83" s="81" t="s">
        <v>86</v>
      </c>
      <c r="M83" s="82">
        <f>D83/VLOOKUP(F83,'Kursy walut'!C:E,3,0)</f>
        <v>37308.321406665302</v>
      </c>
      <c r="N83" s="81" t="s">
        <v>85</v>
      </c>
      <c r="O83" s="81" t="e">
        <f t="shared" si="1"/>
        <v>#VALUE!</v>
      </c>
    </row>
    <row r="84" spans="1:15" ht="13" x14ac:dyDescent="0.15">
      <c r="A84" s="73" t="s">
        <v>63</v>
      </c>
      <c r="B84" s="74" t="s">
        <v>154</v>
      </c>
      <c r="C84" s="83" t="s">
        <v>685</v>
      </c>
      <c r="D84" s="83" t="s">
        <v>686</v>
      </c>
      <c r="E84" s="83" t="s">
        <v>687</v>
      </c>
      <c r="F84" s="83" t="s">
        <v>155</v>
      </c>
      <c r="G84" s="99" t="s">
        <v>155</v>
      </c>
      <c r="H84" s="100">
        <f t="shared" si="0"/>
        <v>1</v>
      </c>
      <c r="I84" s="78" t="str">
        <f>IF(F84="USD",D84*VLOOKUP(J84,'Kursy walut'!C:E,2,0),IF(F84="EUR",D84*VLOOKUP(J84,'Kursy walut'!C:E,3,0),D84))</f>
        <v>34.90</v>
      </c>
      <c r="J84" s="79" t="s">
        <v>155</v>
      </c>
      <c r="K84" s="80" t="e">
        <f>D84/VLOOKUP(F84,'Kursy walut'!C:E,2,0)</f>
        <v>#VALUE!</v>
      </c>
      <c r="L84" s="81" t="s">
        <v>86</v>
      </c>
      <c r="M84" s="82" t="e">
        <f>D84/VLOOKUP(F84,'Kursy walut'!C:E,3,0)</f>
        <v>#VALUE!</v>
      </c>
      <c r="N84" s="81" t="s">
        <v>85</v>
      </c>
      <c r="O84" s="81" t="e">
        <f t="shared" si="1"/>
        <v>#VALUE!</v>
      </c>
    </row>
    <row r="85" spans="1:15" ht="13" x14ac:dyDescent="0.15">
      <c r="A85" s="73" t="s">
        <v>81</v>
      </c>
      <c r="B85" s="74" t="s">
        <v>156</v>
      </c>
      <c r="C85" s="83" t="s">
        <v>688</v>
      </c>
      <c r="D85" s="83" t="s">
        <v>689</v>
      </c>
      <c r="E85" s="83" t="s">
        <v>690</v>
      </c>
      <c r="F85" s="83" t="s">
        <v>157</v>
      </c>
      <c r="G85" s="99" t="s">
        <v>157</v>
      </c>
      <c r="H85" s="100">
        <f t="shared" si="0"/>
        <v>1</v>
      </c>
      <c r="I85" s="78" t="str">
        <f>IF(F85="USD",D85*VLOOKUP(J85,'Kursy walut'!C:E,2,0),IF(F85="EUR",D85*VLOOKUP(J85,'Kursy walut'!C:E,3,0),D85))</f>
        <v>459.00</v>
      </c>
      <c r="J85" s="79" t="s">
        <v>157</v>
      </c>
      <c r="K85" s="80" t="e">
        <f>D85/VLOOKUP(F85,'Kursy walut'!C:E,2,0)</f>
        <v>#VALUE!</v>
      </c>
      <c r="L85" s="81" t="s">
        <v>86</v>
      </c>
      <c r="M85" s="82" t="e">
        <f>D85/VLOOKUP(F85,'Kursy walut'!C:E,3,0)</f>
        <v>#VALUE!</v>
      </c>
      <c r="N85" s="81" t="s">
        <v>85</v>
      </c>
      <c r="O85" s="81" t="e">
        <f t="shared" si="1"/>
        <v>#VALUE!</v>
      </c>
    </row>
    <row r="86" spans="1:15" ht="13" x14ac:dyDescent="0.15">
      <c r="A86" s="73" t="s">
        <v>74</v>
      </c>
      <c r="B86" s="74" t="s">
        <v>152</v>
      </c>
      <c r="C86" s="83" t="s">
        <v>691</v>
      </c>
      <c r="D86" s="83" t="s">
        <v>692</v>
      </c>
      <c r="E86" s="83" t="s">
        <v>693</v>
      </c>
      <c r="F86" s="83" t="s">
        <v>153</v>
      </c>
      <c r="G86" s="99" t="s">
        <v>153</v>
      </c>
      <c r="H86" s="100">
        <f t="shared" si="0"/>
        <v>1</v>
      </c>
      <c r="I86" s="78" t="str">
        <f>IF(F86="USD",D86*VLOOKUP(J86,'Kursy walut'!C:E,2,0),IF(F86="EUR",D86*VLOOKUP(J86,'Kursy walut'!C:E,3,0),D86))</f>
        <v>800.00</v>
      </c>
      <c r="J86" s="79" t="s">
        <v>153</v>
      </c>
      <c r="K86" s="80" t="e">
        <f>D86/VLOOKUP(F86,'Kursy walut'!C:E,2,0)</f>
        <v>#VALUE!</v>
      </c>
      <c r="L86" s="81" t="s">
        <v>86</v>
      </c>
      <c r="M86" s="82" t="e">
        <f>D86/VLOOKUP(F86,'Kursy walut'!C:E,3,0)</f>
        <v>#VALUE!</v>
      </c>
      <c r="N86" s="81" t="s">
        <v>85</v>
      </c>
      <c r="O86" s="81" t="e">
        <f t="shared" si="1"/>
        <v>#VALUE!</v>
      </c>
    </row>
    <row r="87" spans="1:15" ht="13" x14ac:dyDescent="0.15">
      <c r="A87" s="73" t="s">
        <v>70</v>
      </c>
      <c r="B87" s="74" t="s">
        <v>158</v>
      </c>
      <c r="C87" s="83" t="s">
        <v>694</v>
      </c>
      <c r="D87" s="83" t="s">
        <v>695</v>
      </c>
      <c r="E87" s="83" t="s">
        <v>696</v>
      </c>
      <c r="F87" s="83" t="s">
        <v>159</v>
      </c>
      <c r="G87" s="99" t="s">
        <v>159</v>
      </c>
      <c r="H87" s="100">
        <f t="shared" si="0"/>
        <v>1</v>
      </c>
      <c r="I87" s="78" t="str">
        <f>IF(F87="USD",D87*VLOOKUP(J87,'Kursy walut'!C:E,2,0),IF(F87="EUR",D87*VLOOKUP(J87,'Kursy walut'!C:E,3,0),D87))</f>
        <v>43.00</v>
      </c>
      <c r="J87" s="79" t="s">
        <v>159</v>
      </c>
      <c r="K87" s="80" t="e">
        <f>D87/VLOOKUP(F87,'Kursy walut'!C:E,2,0)</f>
        <v>#VALUE!</v>
      </c>
      <c r="L87" s="81" t="s">
        <v>86</v>
      </c>
      <c r="M87" s="82" t="e">
        <f>D87/VLOOKUP(F87,'Kursy walut'!C:E,3,0)</f>
        <v>#VALUE!</v>
      </c>
      <c r="N87" s="81" t="s">
        <v>85</v>
      </c>
      <c r="O87" s="81" t="e">
        <f t="shared" si="1"/>
        <v>#VALUE!</v>
      </c>
    </row>
    <row r="88" spans="1:15" ht="13" x14ac:dyDescent="0.15">
      <c r="A88" s="73" t="s">
        <v>697</v>
      </c>
      <c r="B88" s="74" t="s">
        <v>698</v>
      </c>
      <c r="C88" s="83" t="s">
        <v>699</v>
      </c>
      <c r="D88" s="83" t="s">
        <v>700</v>
      </c>
      <c r="E88" s="83" t="s">
        <v>701</v>
      </c>
      <c r="F88" s="83" t="s">
        <v>86</v>
      </c>
      <c r="G88" s="99" t="s">
        <v>86</v>
      </c>
      <c r="H88" s="100">
        <f t="shared" si="0"/>
        <v>1</v>
      </c>
      <c r="I88" s="78" t="e">
        <f>IF(F88="USD",D88*VLOOKUP(J88,'Kursy walut'!C:E,2,0),IF(F88="EUR",D88*VLOOKUP(J88,'Kursy walut'!C:E,3,0),D88))</f>
        <v>#VALUE!</v>
      </c>
      <c r="J88" s="79" t="s">
        <v>86</v>
      </c>
      <c r="K88" s="80" t="e">
        <f>D88/VLOOKUP(F88,'Kursy walut'!C:E,2,0)</f>
        <v>#VALUE!</v>
      </c>
      <c r="L88" s="81" t="s">
        <v>86</v>
      </c>
      <c r="M88" s="82" t="e">
        <f>D88/VLOOKUP(F88,'Kursy walut'!C:E,3,0)</f>
        <v>#VALUE!</v>
      </c>
      <c r="N88" s="81" t="s">
        <v>85</v>
      </c>
      <c r="O88" s="81" t="e">
        <f t="shared" si="1"/>
        <v>#VALUE!</v>
      </c>
    </row>
    <row r="89" spans="1:15" ht="13" x14ac:dyDescent="0.15">
      <c r="A89" s="73" t="s">
        <v>45</v>
      </c>
      <c r="B89" s="74" t="s">
        <v>160</v>
      </c>
      <c r="C89" s="83" t="s">
        <v>526</v>
      </c>
      <c r="D89" s="83" t="s">
        <v>595</v>
      </c>
      <c r="E89" s="83" t="s">
        <v>596</v>
      </c>
      <c r="F89" s="75" t="s">
        <v>85</v>
      </c>
      <c r="G89" s="99" t="s">
        <v>85</v>
      </c>
      <c r="H89" s="100">
        <f t="shared" si="0"/>
        <v>1</v>
      </c>
      <c r="I89" s="78">
        <f>IF(F89="USD",D89*VLOOKUP(J89,'Kursy walut'!C:E,2,0),IF(F89="EUR",D89*VLOOKUP(J89,'Kursy walut'!C:E,3,0),D89))</f>
        <v>36465</v>
      </c>
      <c r="J89" s="79" t="s">
        <v>85</v>
      </c>
      <c r="K89" s="80">
        <f>D89/VLOOKUP(F89,'Kursy walut'!C:E,2,0)</f>
        <v>35669.568619778933</v>
      </c>
      <c r="L89" s="81" t="s">
        <v>86</v>
      </c>
      <c r="M89" s="82">
        <f>D89/VLOOKUP(F89,'Kursy walut'!C:E,3,0)</f>
        <v>36465</v>
      </c>
      <c r="N89" s="81" t="s">
        <v>85</v>
      </c>
      <c r="O89" s="81" t="e">
        <f t="shared" si="1"/>
        <v>#VALUE!</v>
      </c>
    </row>
    <row r="90" spans="1:15" ht="13" x14ac:dyDescent="0.15">
      <c r="A90" s="73" t="s">
        <v>702</v>
      </c>
      <c r="B90" s="74" t="s">
        <v>703</v>
      </c>
      <c r="C90" s="83" t="s">
        <v>704</v>
      </c>
      <c r="D90" s="83" t="s">
        <v>705</v>
      </c>
      <c r="E90" s="83" t="s">
        <v>706</v>
      </c>
      <c r="F90" s="83" t="s">
        <v>86</v>
      </c>
      <c r="G90" s="99" t="s">
        <v>427</v>
      </c>
      <c r="H90" s="100">
        <f t="shared" si="0"/>
        <v>0</v>
      </c>
      <c r="I90" s="78">
        <f>IF(F90="USD",D90*VLOOKUP(J90,'Kursy walut'!C:E,2,0),IF(F90="EUR",D90*VLOOKUP(J90,'Kursy walut'!C:E,3,0),D90))</f>
        <v>129264474.23930001</v>
      </c>
      <c r="J90" s="85" t="s">
        <v>427</v>
      </c>
      <c r="K90" s="80">
        <f>D90/VLOOKUP(F90,'Kursy walut'!C:E,2,0)</f>
        <v>18203</v>
      </c>
      <c r="L90" s="81" t="s">
        <v>86</v>
      </c>
      <c r="M90" s="82">
        <f>D90/VLOOKUP(F90,'Kursy walut'!C:E,3,0)</f>
        <v>18608.668983847885</v>
      </c>
      <c r="N90" s="81" t="s">
        <v>85</v>
      </c>
      <c r="O90" s="81" t="e">
        <f t="shared" si="1"/>
        <v>#VALUE!</v>
      </c>
    </row>
    <row r="91" spans="1:15" ht="13" x14ac:dyDescent="0.15">
      <c r="A91" s="73" t="s">
        <v>707</v>
      </c>
      <c r="B91" s="74" t="s">
        <v>708</v>
      </c>
      <c r="C91" s="83" t="s">
        <v>522</v>
      </c>
      <c r="D91" s="83" t="s">
        <v>523</v>
      </c>
      <c r="E91" s="83" t="s">
        <v>649</v>
      </c>
      <c r="F91" s="83" t="s">
        <v>86</v>
      </c>
      <c r="G91" s="99" t="s">
        <v>430</v>
      </c>
      <c r="H91" s="100">
        <f t="shared" si="0"/>
        <v>0</v>
      </c>
      <c r="I91" s="78">
        <f>IF(F91="USD",D91*VLOOKUP(J91,'Kursy walut'!C:E,2,0),IF(F91="EUR",D91*VLOOKUP(J91,'Kursy walut'!C:E,3,0),D91))</f>
        <v>132546.96400000001</v>
      </c>
      <c r="J91" s="85" t="s">
        <v>430</v>
      </c>
      <c r="K91" s="80">
        <f>D91/VLOOKUP(F91,'Kursy walut'!C:E,2,0)</f>
        <v>36404</v>
      </c>
      <c r="L91" s="81" t="s">
        <v>86</v>
      </c>
      <c r="M91" s="82">
        <f>D91/VLOOKUP(F91,'Kursy walut'!C:E,3,0)</f>
        <v>37215.293396033536</v>
      </c>
      <c r="N91" s="81" t="s">
        <v>85</v>
      </c>
      <c r="O91" s="81" t="e">
        <f t="shared" si="1"/>
        <v>#VALUE!</v>
      </c>
    </row>
    <row r="92" spans="1:15" ht="13" x14ac:dyDescent="0.15">
      <c r="A92" s="73" t="s">
        <v>64</v>
      </c>
      <c r="B92" s="74" t="s">
        <v>161</v>
      </c>
      <c r="C92" s="83" t="s">
        <v>526</v>
      </c>
      <c r="D92" s="83" t="s">
        <v>523</v>
      </c>
      <c r="E92" s="83" t="s">
        <v>527</v>
      </c>
      <c r="F92" s="83" t="s">
        <v>85</v>
      </c>
      <c r="G92" s="99" t="s">
        <v>162</v>
      </c>
      <c r="H92" s="100">
        <f t="shared" si="0"/>
        <v>0</v>
      </c>
      <c r="I92" s="78">
        <f>IF(F92="USD",D92*VLOOKUP(J92,'Kursy walut'!C:E,2,0),IF(F92="EUR",D92*VLOOKUP(J92,'Kursy walut'!C:E,3,0),D92))</f>
        <v>180130.6324</v>
      </c>
      <c r="J92" s="85" t="s">
        <v>162</v>
      </c>
      <c r="K92" s="80">
        <f>D92/VLOOKUP(F92,'Kursy walut'!C:E,2,0)</f>
        <v>35609.899246796442</v>
      </c>
      <c r="L92" s="81" t="s">
        <v>86</v>
      </c>
      <c r="M92" s="82">
        <f>D92/VLOOKUP(F92,'Kursy walut'!C:E,3,0)</f>
        <v>36404</v>
      </c>
      <c r="N92" s="81" t="s">
        <v>85</v>
      </c>
      <c r="O92" s="81" t="e">
        <f t="shared" si="1"/>
        <v>#VALUE!</v>
      </c>
    </row>
    <row r="93" spans="1:15" ht="13" x14ac:dyDescent="0.15">
      <c r="A93" s="73" t="s">
        <v>50</v>
      </c>
      <c r="B93" s="74" t="s">
        <v>165</v>
      </c>
      <c r="C93" s="83" t="s">
        <v>526</v>
      </c>
      <c r="D93" s="83" t="s">
        <v>523</v>
      </c>
      <c r="E93" s="83" t="s">
        <v>527</v>
      </c>
      <c r="F93" s="83" t="s">
        <v>86</v>
      </c>
      <c r="G93" s="99" t="s">
        <v>166</v>
      </c>
      <c r="H93" s="100">
        <f t="shared" si="0"/>
        <v>0</v>
      </c>
      <c r="I93" s="78">
        <f>IF(F93="USD",D93*VLOOKUP(J93,'Kursy walut'!C:E,2,0),IF(F93="EUR",D93*VLOOKUP(J93,'Kursy walut'!C:E,3,0),D93))</f>
        <v>4365352.8964</v>
      </c>
      <c r="J93" s="85" t="s">
        <v>166</v>
      </c>
      <c r="K93" s="80">
        <f>D93/VLOOKUP(F93,'Kursy walut'!C:E,2,0)</f>
        <v>36404</v>
      </c>
      <c r="L93" s="81" t="s">
        <v>86</v>
      </c>
      <c r="M93" s="82">
        <f>D93/VLOOKUP(F93,'Kursy walut'!C:E,3,0)</f>
        <v>37215.293396033536</v>
      </c>
      <c r="N93" s="81" t="s">
        <v>85</v>
      </c>
      <c r="O93" s="81" t="e">
        <f t="shared" si="1"/>
        <v>#VALUE!</v>
      </c>
    </row>
    <row r="94" spans="1:15" ht="13" x14ac:dyDescent="0.15">
      <c r="A94" s="73" t="s">
        <v>712</v>
      </c>
      <c r="B94" s="74" t="s">
        <v>438</v>
      </c>
      <c r="C94" s="83" t="s">
        <v>522</v>
      </c>
      <c r="D94" s="83" t="s">
        <v>523</v>
      </c>
      <c r="E94" s="83" t="s">
        <v>524</v>
      </c>
      <c r="F94" s="83" t="s">
        <v>86</v>
      </c>
      <c r="G94" s="99" t="s">
        <v>439</v>
      </c>
      <c r="H94" s="100">
        <f t="shared" si="0"/>
        <v>0</v>
      </c>
      <c r="I94" s="78">
        <f>IF(F94="USD",D94*VLOOKUP(J94,'Kursy walut'!C:E,2,0),IF(F94="EUR",D94*VLOOKUP(J94,'Kursy walut'!C:E,3,0),D94))</f>
        <v>38246395.518799998</v>
      </c>
      <c r="J94" s="85" t="s">
        <v>439</v>
      </c>
      <c r="K94" s="80">
        <f>D94/VLOOKUP(F94,'Kursy walut'!C:E,2,0)</f>
        <v>36404</v>
      </c>
      <c r="L94" s="81" t="s">
        <v>86</v>
      </c>
      <c r="M94" s="82">
        <f>D94/VLOOKUP(F94,'Kursy walut'!C:E,3,0)</f>
        <v>37215.293396033536</v>
      </c>
      <c r="N94" s="81" t="s">
        <v>85</v>
      </c>
      <c r="O94" s="81" t="e">
        <f t="shared" si="1"/>
        <v>#VALUE!</v>
      </c>
    </row>
    <row r="95" spans="1:15" ht="13" x14ac:dyDescent="0.15">
      <c r="A95" s="73" t="s">
        <v>59</v>
      </c>
      <c r="B95" s="74" t="s">
        <v>163</v>
      </c>
      <c r="C95" s="83" t="s">
        <v>713</v>
      </c>
      <c r="D95" s="83" t="s">
        <v>695</v>
      </c>
      <c r="E95" s="83" t="s">
        <v>714</v>
      </c>
      <c r="F95" s="83" t="s">
        <v>164</v>
      </c>
      <c r="G95" s="99" t="s">
        <v>164</v>
      </c>
      <c r="H95" s="100">
        <f t="shared" si="0"/>
        <v>1</v>
      </c>
      <c r="I95" s="78" t="str">
        <f>IF(F95="USD",D95*VLOOKUP(J95,'Kursy walut'!C:E,2,0),IF(F95="EUR",D95*VLOOKUP(J95,'Kursy walut'!C:E,3,0),D95))</f>
        <v>43.00</v>
      </c>
      <c r="J95" s="79" t="s">
        <v>164</v>
      </c>
      <c r="K95" s="80" t="e">
        <f>D95/VLOOKUP(F95,'Kursy walut'!C:E,2,0)</f>
        <v>#VALUE!</v>
      </c>
      <c r="L95" s="81" t="s">
        <v>86</v>
      </c>
      <c r="M95" s="82" t="e">
        <f>D95/VLOOKUP(F95,'Kursy walut'!C:E,3,0)</f>
        <v>#VALUE!</v>
      </c>
      <c r="N95" s="81" t="s">
        <v>85</v>
      </c>
      <c r="O95" s="81" t="e">
        <f t="shared" si="1"/>
        <v>#VALUE!</v>
      </c>
    </row>
    <row r="96" spans="1:15" ht="13" x14ac:dyDescent="0.15">
      <c r="A96" s="73" t="s">
        <v>36</v>
      </c>
      <c r="B96" s="74" t="s">
        <v>175</v>
      </c>
      <c r="C96" s="83" t="s">
        <v>715</v>
      </c>
      <c r="D96" s="83" t="s">
        <v>716</v>
      </c>
      <c r="E96" s="83" t="s">
        <v>717</v>
      </c>
      <c r="F96" s="83" t="s">
        <v>176</v>
      </c>
      <c r="G96" s="99" t="s">
        <v>176</v>
      </c>
      <c r="H96" s="100">
        <f t="shared" si="0"/>
        <v>1</v>
      </c>
      <c r="I96" s="78" t="str">
        <f>IF(F96="USD",D96*VLOOKUP(J96,'Kursy walut'!C:E,2,0),IF(F96="EUR",D96*VLOOKUP(J96,'Kursy walut'!C:E,3,0),D96))</f>
        <v>129.00</v>
      </c>
      <c r="J96" s="79" t="s">
        <v>176</v>
      </c>
      <c r="K96" s="80" t="e">
        <f>D96/VLOOKUP(F96,'Kursy walut'!C:E,2,0)</f>
        <v>#VALUE!</v>
      </c>
      <c r="L96" s="81" t="s">
        <v>86</v>
      </c>
      <c r="M96" s="82" t="e">
        <f>D96/VLOOKUP(F96,'Kursy walut'!C:E,3,0)</f>
        <v>#VALUE!</v>
      </c>
      <c r="N96" s="81" t="s">
        <v>85</v>
      </c>
      <c r="O96" s="81" t="e">
        <f t="shared" si="1"/>
        <v>#VALUE!</v>
      </c>
    </row>
    <row r="97" spans="1:15" ht="13" x14ac:dyDescent="0.15">
      <c r="A97" s="73" t="s">
        <v>61</v>
      </c>
      <c r="B97" s="74" t="s">
        <v>167</v>
      </c>
      <c r="C97" s="83" t="s">
        <v>718</v>
      </c>
      <c r="D97" s="83" t="s">
        <v>719</v>
      </c>
      <c r="E97" s="83" t="s">
        <v>720</v>
      </c>
      <c r="F97" s="83" t="s">
        <v>168</v>
      </c>
      <c r="G97" s="99" t="s">
        <v>168</v>
      </c>
      <c r="H97" s="100">
        <f t="shared" si="0"/>
        <v>1</v>
      </c>
      <c r="I97" s="78" t="str">
        <f>IF(F97="USD",D97*VLOOKUP(J97,'Kursy walut'!C:E,2,0),IF(F97="EUR",D97*VLOOKUP(J97,'Kursy walut'!C:E,3,0),D97))</f>
        <v>17.48</v>
      </c>
      <c r="J97" s="79" t="s">
        <v>168</v>
      </c>
      <c r="K97" s="80" t="e">
        <f>D97/VLOOKUP(F97,'Kursy walut'!C:E,2,0)</f>
        <v>#VALUE!</v>
      </c>
      <c r="L97" s="81" t="s">
        <v>86</v>
      </c>
      <c r="M97" s="82" t="e">
        <f>D97/VLOOKUP(F97,'Kursy walut'!C:E,3,0)</f>
        <v>#VALUE!</v>
      </c>
      <c r="N97" s="81" t="s">
        <v>85</v>
      </c>
      <c r="O97" s="81" t="e">
        <f t="shared" si="1"/>
        <v>#VALUE!</v>
      </c>
    </row>
    <row r="98" spans="1:15" ht="13" x14ac:dyDescent="0.15">
      <c r="A98" s="73" t="s">
        <v>721</v>
      </c>
      <c r="B98" s="74" t="s">
        <v>722</v>
      </c>
      <c r="C98" s="83" t="s">
        <v>526</v>
      </c>
      <c r="D98" s="83" t="s">
        <v>523</v>
      </c>
      <c r="E98" s="83" t="s">
        <v>527</v>
      </c>
      <c r="F98" s="75" t="s">
        <v>85</v>
      </c>
      <c r="G98" s="99" t="s">
        <v>85</v>
      </c>
      <c r="H98" s="100">
        <f t="shared" si="0"/>
        <v>1</v>
      </c>
      <c r="I98" s="78">
        <f>IF(F98="USD",D98*VLOOKUP(J98,'Kursy walut'!C:E,2,0),IF(F98="EUR",D98*VLOOKUP(J98,'Kursy walut'!C:E,3,0),D98))</f>
        <v>36404</v>
      </c>
      <c r="J98" s="79" t="s">
        <v>85</v>
      </c>
      <c r="K98" s="80">
        <f>D98/VLOOKUP(F98,'Kursy walut'!C:E,2,0)</f>
        <v>35609.899246796442</v>
      </c>
      <c r="L98" s="81" t="s">
        <v>86</v>
      </c>
      <c r="M98" s="82">
        <f>D98/VLOOKUP(F98,'Kursy walut'!C:E,3,0)</f>
        <v>36404</v>
      </c>
      <c r="N98" s="81" t="s">
        <v>85</v>
      </c>
      <c r="O98" s="81" t="e">
        <f t="shared" si="1"/>
        <v>#VALUE!</v>
      </c>
    </row>
    <row r="99" spans="1:15" ht="13" x14ac:dyDescent="0.15">
      <c r="A99" s="73" t="s">
        <v>47</v>
      </c>
      <c r="B99" s="74" t="s">
        <v>169</v>
      </c>
      <c r="C99" s="83" t="s">
        <v>526</v>
      </c>
      <c r="D99" s="83" t="s">
        <v>523</v>
      </c>
      <c r="E99" s="83" t="s">
        <v>527</v>
      </c>
      <c r="F99" s="75" t="s">
        <v>85</v>
      </c>
      <c r="G99" s="99" t="s">
        <v>85</v>
      </c>
      <c r="H99" s="100">
        <f t="shared" si="0"/>
        <v>1</v>
      </c>
      <c r="I99" s="78">
        <f>IF(F99="USD",D99*VLOOKUP(J99,'Kursy walut'!C:E,2,0),IF(F99="EUR",D99*VLOOKUP(J99,'Kursy walut'!C:E,3,0),D99))</f>
        <v>36404</v>
      </c>
      <c r="J99" s="79" t="s">
        <v>85</v>
      </c>
      <c r="K99" s="80">
        <f>D99/VLOOKUP(F99,'Kursy walut'!C:E,2,0)</f>
        <v>35609.899246796442</v>
      </c>
      <c r="L99" s="81" t="s">
        <v>86</v>
      </c>
      <c r="M99" s="82">
        <f>D99/VLOOKUP(F99,'Kursy walut'!C:E,3,0)</f>
        <v>36404</v>
      </c>
      <c r="N99" s="81" t="s">
        <v>85</v>
      </c>
      <c r="O99" s="81" t="e">
        <f t="shared" si="1"/>
        <v>#VALUE!</v>
      </c>
    </row>
    <row r="100" spans="1:15" ht="13" x14ac:dyDescent="0.15">
      <c r="A100" s="73" t="s">
        <v>723</v>
      </c>
      <c r="B100" s="74" t="s">
        <v>724</v>
      </c>
      <c r="C100" s="83" t="s">
        <v>522</v>
      </c>
      <c r="D100" s="83" t="s">
        <v>532</v>
      </c>
      <c r="E100" s="83" t="s">
        <v>543</v>
      </c>
      <c r="F100" s="83" t="s">
        <v>86</v>
      </c>
      <c r="G100" s="99" t="s">
        <v>86</v>
      </c>
      <c r="H100" s="100">
        <f t="shared" si="0"/>
        <v>1</v>
      </c>
      <c r="I100" s="78">
        <f>IF(F100="USD",D100*VLOOKUP(J100,'Kursy walut'!C:E,2,0),IF(F100="EUR",D100*VLOOKUP(J100,'Kursy walut'!C:E,3,0),D100))</f>
        <v>36434</v>
      </c>
      <c r="J100" s="79" t="s">
        <v>86</v>
      </c>
      <c r="K100" s="80">
        <f>D100/VLOOKUP(F100,'Kursy walut'!C:E,2,0)</f>
        <v>36434</v>
      </c>
      <c r="L100" s="81" t="s">
        <v>86</v>
      </c>
      <c r="M100" s="82">
        <f>D100/VLOOKUP(F100,'Kursy walut'!C:E,3,0)</f>
        <v>37245.961970967081</v>
      </c>
      <c r="N100" s="81" t="s">
        <v>85</v>
      </c>
      <c r="O100" s="81" t="e">
        <f t="shared" si="1"/>
        <v>#VALUE!</v>
      </c>
    </row>
    <row r="101" spans="1:15" ht="13" x14ac:dyDescent="0.15">
      <c r="A101" s="73" t="s">
        <v>78</v>
      </c>
      <c r="B101" s="74" t="s">
        <v>179</v>
      </c>
      <c r="C101" s="83" t="s">
        <v>725</v>
      </c>
      <c r="D101" s="83" t="s">
        <v>726</v>
      </c>
      <c r="E101" s="83" t="s">
        <v>727</v>
      </c>
      <c r="F101" s="83" t="s">
        <v>180</v>
      </c>
      <c r="G101" s="99" t="s">
        <v>180</v>
      </c>
      <c r="H101" s="100">
        <f t="shared" si="0"/>
        <v>1</v>
      </c>
      <c r="I101" s="78" t="str">
        <f>IF(F101="USD",D101*VLOOKUP(J101,'Kursy walut'!C:E,2,0),IF(F101="EUR",D101*VLOOKUP(J101,'Kursy walut'!C:E,3,0),D101))</f>
        <v>349.00</v>
      </c>
      <c r="J101" s="79" t="s">
        <v>180</v>
      </c>
      <c r="K101" s="80" t="e">
        <f>D101/VLOOKUP(F101,'Kursy walut'!C:E,2,0)</f>
        <v>#VALUE!</v>
      </c>
      <c r="L101" s="81" t="s">
        <v>86</v>
      </c>
      <c r="M101" s="82" t="e">
        <f>D101/VLOOKUP(F101,'Kursy walut'!C:E,3,0)</f>
        <v>#VALUE!</v>
      </c>
      <c r="N101" s="81" t="s">
        <v>85</v>
      </c>
      <c r="O101" s="81" t="e">
        <f t="shared" si="1"/>
        <v>#VALUE!</v>
      </c>
    </row>
    <row r="102" spans="1:15" ht="13" x14ac:dyDescent="0.15">
      <c r="A102" s="73" t="s">
        <v>728</v>
      </c>
      <c r="B102" s="74" t="s">
        <v>729</v>
      </c>
      <c r="C102" s="83" t="s">
        <v>600</v>
      </c>
      <c r="D102" s="83" t="s">
        <v>601</v>
      </c>
      <c r="E102" s="83" t="s">
        <v>576</v>
      </c>
      <c r="F102" s="83" t="s">
        <v>85</v>
      </c>
      <c r="G102" s="99" t="s">
        <v>459</v>
      </c>
      <c r="H102" s="100">
        <f t="shared" si="0"/>
        <v>0</v>
      </c>
      <c r="I102" s="78">
        <f>IF(F102="USD",D102*VLOOKUP(J102,'Kursy walut'!C:E,2,0),IF(F102="EUR",D102*VLOOKUP(J102,'Kursy walut'!C:E,3,0),D102))</f>
        <v>285738.83999999997</v>
      </c>
      <c r="J102" s="85" t="s">
        <v>459</v>
      </c>
      <c r="K102" s="80">
        <f>D102/VLOOKUP(F102,'Kursy walut'!C:E,2,0)</f>
        <v>28523.916658515114</v>
      </c>
      <c r="L102" s="81" t="s">
        <v>86</v>
      </c>
      <c r="M102" s="82">
        <f>D102/VLOOKUP(F102,'Kursy walut'!C:E,3,0)</f>
        <v>29160</v>
      </c>
      <c r="N102" s="81" t="s">
        <v>85</v>
      </c>
      <c r="O102" s="81" t="e">
        <f t="shared" si="1"/>
        <v>#VALUE!</v>
      </c>
    </row>
    <row r="103" spans="1:15" ht="13" x14ac:dyDescent="0.15">
      <c r="A103" s="73" t="s">
        <v>730</v>
      </c>
      <c r="B103" s="74" t="s">
        <v>731</v>
      </c>
      <c r="C103" s="83" t="s">
        <v>522</v>
      </c>
      <c r="D103" s="83" t="s">
        <v>523</v>
      </c>
      <c r="E103" s="83" t="s">
        <v>524</v>
      </c>
      <c r="F103" s="83" t="s">
        <v>86</v>
      </c>
      <c r="G103" s="99" t="s">
        <v>465</v>
      </c>
      <c r="H103" s="100">
        <f t="shared" si="0"/>
        <v>0</v>
      </c>
      <c r="I103" s="78">
        <f>IF(F103="USD",D103*VLOOKUP(J103,'Kursy walut'!C:E,2,0),IF(F103="EUR",D103*VLOOKUP(J103,'Kursy walut'!C:E,3,0),D103))</f>
        <v>118855.41959999999</v>
      </c>
      <c r="J103" s="85" t="s">
        <v>465</v>
      </c>
      <c r="K103" s="80">
        <f>D103/VLOOKUP(F103,'Kursy walut'!C:E,2,0)</f>
        <v>36404</v>
      </c>
      <c r="L103" s="81" t="s">
        <v>86</v>
      </c>
      <c r="M103" s="82">
        <f>D103/VLOOKUP(F103,'Kursy walut'!C:E,3,0)</f>
        <v>37215.293396033536</v>
      </c>
      <c r="N103" s="81" t="s">
        <v>85</v>
      </c>
      <c r="O103" s="81" t="e">
        <f t="shared" si="1"/>
        <v>#VALUE!</v>
      </c>
    </row>
    <row r="104" spans="1:15" ht="13" x14ac:dyDescent="0.15">
      <c r="A104" s="73" t="s">
        <v>84</v>
      </c>
      <c r="B104" s="74" t="s">
        <v>181</v>
      </c>
      <c r="C104" s="83" t="s">
        <v>732</v>
      </c>
      <c r="D104" s="83" t="s">
        <v>733</v>
      </c>
      <c r="E104" s="83" t="s">
        <v>734</v>
      </c>
      <c r="F104" s="83" t="s">
        <v>182</v>
      </c>
      <c r="G104" s="99" t="s">
        <v>182</v>
      </c>
      <c r="H104" s="100">
        <f t="shared" si="0"/>
        <v>1</v>
      </c>
      <c r="I104" s="78" t="str">
        <f>IF(F104="USD",D104*VLOOKUP(J104,'Kursy walut'!C:E,2,0),IF(F104="EUR",D104*VLOOKUP(J104,'Kursy walut'!C:E,3,0),D104))</f>
        <v>69.99</v>
      </c>
      <c r="J104" s="79" t="s">
        <v>182</v>
      </c>
      <c r="K104" s="80" t="e">
        <f>D104/VLOOKUP(F104,'Kursy walut'!C:E,2,0)</f>
        <v>#VALUE!</v>
      </c>
      <c r="L104" s="81" t="s">
        <v>86</v>
      </c>
      <c r="M104" s="82" t="e">
        <f>D104/VLOOKUP(F104,'Kursy walut'!C:E,3,0)</f>
        <v>#VALUE!</v>
      </c>
      <c r="N104" s="81" t="s">
        <v>85</v>
      </c>
      <c r="O104" s="81" t="e">
        <f t="shared" si="1"/>
        <v>#VALUE!</v>
      </c>
    </row>
    <row r="105" spans="1:15" ht="13" x14ac:dyDescent="0.15">
      <c r="A105" s="73" t="s">
        <v>735</v>
      </c>
      <c r="B105" s="74" t="s">
        <v>736</v>
      </c>
      <c r="C105" s="83" t="s">
        <v>737</v>
      </c>
      <c r="D105" s="83" t="s">
        <v>738</v>
      </c>
      <c r="E105" s="83" t="s">
        <v>739</v>
      </c>
      <c r="F105" s="83" t="s">
        <v>470</v>
      </c>
      <c r="G105" s="99" t="s">
        <v>470</v>
      </c>
      <c r="H105" s="100">
        <f t="shared" si="0"/>
        <v>1</v>
      </c>
      <c r="I105" s="78" t="str">
        <f>IF(F105="USD",D105*VLOOKUP(J105,'Kursy walut'!C:E,2,0),IF(F105="EUR",D105*VLOOKUP(J105,'Kursy walut'!C:E,3,0),D105))</f>
        <v>330.00</v>
      </c>
      <c r="J105" s="79" t="s">
        <v>470</v>
      </c>
      <c r="K105" s="80" t="e">
        <f>D105/VLOOKUP(F105,'Kursy walut'!C:E,2,0)</f>
        <v>#VALUE!</v>
      </c>
      <c r="L105" s="81" t="s">
        <v>86</v>
      </c>
      <c r="M105" s="82" t="e">
        <f>D105/VLOOKUP(F105,'Kursy walut'!C:E,3,0)</f>
        <v>#VALUE!</v>
      </c>
      <c r="N105" s="81" t="s">
        <v>85</v>
      </c>
      <c r="O105" s="81" t="e">
        <f t="shared" si="1"/>
        <v>#VALUE!</v>
      </c>
    </row>
    <row r="106" spans="1:15" ht="13" x14ac:dyDescent="0.15">
      <c r="A106" s="73" t="s">
        <v>740</v>
      </c>
      <c r="B106" s="74" t="s">
        <v>472</v>
      </c>
      <c r="C106" s="83" t="s">
        <v>522</v>
      </c>
      <c r="D106" s="83" t="s">
        <v>523</v>
      </c>
      <c r="E106" s="83" t="s">
        <v>524</v>
      </c>
      <c r="F106" s="83" t="s">
        <v>86</v>
      </c>
      <c r="G106" s="99" t="s">
        <v>473</v>
      </c>
      <c r="H106" s="100">
        <f t="shared" si="0"/>
        <v>0</v>
      </c>
      <c r="I106" s="78">
        <f>IF(F106="USD",D106*VLOOKUP(J106,'Kursy walut'!C:E,2,0),IF(F106="EUR",D106*VLOOKUP(J106,'Kursy walut'!C:E,3,0),D106))</f>
        <v>84929778.437199995</v>
      </c>
      <c r="J106" s="85" t="s">
        <v>473</v>
      </c>
      <c r="K106" s="80">
        <f>D106/VLOOKUP(F106,'Kursy walut'!C:E,2,0)</f>
        <v>36404</v>
      </c>
      <c r="L106" s="81" t="s">
        <v>86</v>
      </c>
      <c r="M106" s="82">
        <f>D106/VLOOKUP(F106,'Kursy walut'!C:E,3,0)</f>
        <v>37215.293396033536</v>
      </c>
      <c r="N106" s="81" t="s">
        <v>85</v>
      </c>
      <c r="O106" s="81" t="e">
        <f t="shared" si="1"/>
        <v>#VALUE!</v>
      </c>
    </row>
    <row r="107" spans="1:15" ht="13" x14ac:dyDescent="0.15">
      <c r="A107" s="73" t="s">
        <v>62</v>
      </c>
      <c r="B107" s="74" t="s">
        <v>185</v>
      </c>
      <c r="C107" s="83" t="s">
        <v>741</v>
      </c>
      <c r="D107" s="83" t="s">
        <v>742</v>
      </c>
      <c r="E107" s="83" t="s">
        <v>743</v>
      </c>
      <c r="F107" s="83" t="s">
        <v>85</v>
      </c>
      <c r="G107" s="99" t="s">
        <v>186</v>
      </c>
      <c r="H107" s="100">
        <f t="shared" si="0"/>
        <v>0</v>
      </c>
      <c r="I107" s="78">
        <f>IF(F107="USD",D107*VLOOKUP(J107,'Kursy walut'!C:E,2,0),IF(F107="EUR",D107*VLOOKUP(J107,'Kursy walut'!C:E,3,0),D107))</f>
        <v>653026.0959999999</v>
      </c>
      <c r="J107" s="85" t="s">
        <v>186</v>
      </c>
      <c r="K107" s="80">
        <f>D107/VLOOKUP(F107,'Kursy walut'!C:E,2,0)</f>
        <v>17685.610877433239</v>
      </c>
      <c r="L107" s="81" t="s">
        <v>86</v>
      </c>
      <c r="M107" s="82">
        <f>D107/VLOOKUP(F107,'Kursy walut'!C:E,3,0)</f>
        <v>18080</v>
      </c>
      <c r="N107" s="81" t="s">
        <v>85</v>
      </c>
      <c r="O107" s="81" t="e">
        <f t="shared" si="1"/>
        <v>#VALUE!</v>
      </c>
    </row>
    <row r="108" spans="1:15" ht="13" x14ac:dyDescent="0.15">
      <c r="A108" s="73" t="s">
        <v>744</v>
      </c>
      <c r="B108" s="74" t="s">
        <v>477</v>
      </c>
      <c r="C108" s="83" t="s">
        <v>522</v>
      </c>
      <c r="D108" s="83" t="s">
        <v>523</v>
      </c>
      <c r="E108" s="83" t="s">
        <v>524</v>
      </c>
      <c r="F108" s="83" t="s">
        <v>86</v>
      </c>
      <c r="G108" s="99" t="s">
        <v>478</v>
      </c>
      <c r="H108" s="100">
        <f t="shared" si="0"/>
        <v>0</v>
      </c>
      <c r="I108" s="78">
        <f>IF(F108="USD",D108*VLOOKUP(J108,'Kursy walut'!C:E,2,0),IF(F108="EUR",D108*VLOOKUP(J108,'Kursy walut'!C:E,3,0),D108))</f>
        <v>139661175.65559998</v>
      </c>
      <c r="J108" s="85" t="s">
        <v>478</v>
      </c>
      <c r="K108" s="80">
        <f>D108/VLOOKUP(F108,'Kursy walut'!C:E,2,0)</f>
        <v>36404</v>
      </c>
      <c r="L108" s="81" t="s">
        <v>86</v>
      </c>
      <c r="M108" s="82">
        <f>D108/VLOOKUP(F108,'Kursy walut'!C:E,3,0)</f>
        <v>37215.293396033536</v>
      </c>
      <c r="N108" s="81" t="s">
        <v>85</v>
      </c>
      <c r="O108" s="81" t="e">
        <f t="shared" si="1"/>
        <v>#VALUE!</v>
      </c>
    </row>
    <row r="109" spans="1:15" ht="13" x14ac:dyDescent="0.15">
      <c r="A109" s="73" t="s">
        <v>27</v>
      </c>
      <c r="B109" s="74" t="s">
        <v>187</v>
      </c>
      <c r="C109" s="95" t="s">
        <v>745</v>
      </c>
      <c r="D109" s="83" t="s">
        <v>532</v>
      </c>
      <c r="E109" s="83" t="s">
        <v>746</v>
      </c>
      <c r="F109" s="83" t="s">
        <v>188</v>
      </c>
      <c r="G109" s="99" t="s">
        <v>188</v>
      </c>
      <c r="H109" s="100">
        <f t="shared" si="0"/>
        <v>1</v>
      </c>
      <c r="I109" s="78" t="str">
        <f>IF(F109="USD",D109*VLOOKUP(J109,'Kursy walut'!C:E,2,0),IF(F109="EUR",D109*VLOOKUP(J109,'Kursy walut'!C:E,3,0),D109))</f>
        <v>10.99</v>
      </c>
      <c r="J109" s="79" t="s">
        <v>188</v>
      </c>
      <c r="K109" s="80">
        <f>D109/VLOOKUP(F109,'Kursy walut'!C:E,2,0)</f>
        <v>40703.831974081106</v>
      </c>
      <c r="L109" s="81" t="s">
        <v>86</v>
      </c>
      <c r="M109" s="82">
        <f>D109/VLOOKUP(F109,'Kursy walut'!C:E,3,0)</f>
        <v>41331.820760068069</v>
      </c>
      <c r="N109" s="81" t="s">
        <v>85</v>
      </c>
      <c r="O109" s="81" t="e">
        <f t="shared" si="1"/>
        <v>#VALUE!</v>
      </c>
    </row>
    <row r="110" spans="1:15" ht="13" x14ac:dyDescent="0.15">
      <c r="A110" s="73" t="s">
        <v>26</v>
      </c>
      <c r="B110" s="74" t="s">
        <v>189</v>
      </c>
      <c r="C110" s="83" t="s">
        <v>699</v>
      </c>
      <c r="D110" s="83" t="s">
        <v>700</v>
      </c>
      <c r="E110" s="83" t="s">
        <v>701</v>
      </c>
      <c r="F110" s="83" t="s">
        <v>86</v>
      </c>
      <c r="G110" s="99" t="s">
        <v>86</v>
      </c>
      <c r="H110" s="100">
        <f t="shared" si="0"/>
        <v>1</v>
      </c>
      <c r="I110" s="78" t="e">
        <f>IF(F110="USD",D110*VLOOKUP(J110,'Kursy walut'!C:E,2,0),IF(F110="EUR",D110*VLOOKUP(J110,'Kursy walut'!C:E,3,0),D110))</f>
        <v>#VALUE!</v>
      </c>
      <c r="J110" s="79" t="s">
        <v>86</v>
      </c>
      <c r="K110" s="80" t="e">
        <f>D110/VLOOKUP(F110,'Kursy walut'!C:E,2,0)</f>
        <v>#VALUE!</v>
      </c>
      <c r="L110" s="81" t="s">
        <v>86</v>
      </c>
      <c r="M110" s="82" t="e">
        <f>D110/VLOOKUP(F110,'Kursy walut'!C:E,3,0)</f>
        <v>#VALUE!</v>
      </c>
      <c r="N110" s="81" t="s">
        <v>85</v>
      </c>
      <c r="O110" s="81" t="e">
        <f t="shared" si="1"/>
        <v>#VALUE!</v>
      </c>
    </row>
    <row r="111" spans="1:15" ht="13" x14ac:dyDescent="0.15">
      <c r="A111" s="73" t="s">
        <v>747</v>
      </c>
      <c r="B111" s="74" t="s">
        <v>748</v>
      </c>
      <c r="C111" s="83" t="s">
        <v>570</v>
      </c>
      <c r="D111" s="83" t="s">
        <v>514</v>
      </c>
      <c r="E111" s="83" t="s">
        <v>571</v>
      </c>
      <c r="F111" s="83" t="s">
        <v>86</v>
      </c>
      <c r="G111" s="99" t="s">
        <v>485</v>
      </c>
      <c r="H111" s="100">
        <f t="shared" si="0"/>
        <v>0</v>
      </c>
      <c r="I111" s="78">
        <f>IF(F111="USD",D111*VLOOKUP(J111,'Kursy walut'!C:E,2,0),IF(F111="EUR",D111*VLOOKUP(J111,'Kursy walut'!C:E,3,0),D111))</f>
        <v>1505061.0990000002</v>
      </c>
      <c r="J111" s="85" t="s">
        <v>485</v>
      </c>
      <c r="K111" s="80">
        <f>D111/VLOOKUP(F111,'Kursy walut'!C:E,2,0)</f>
        <v>36495</v>
      </c>
      <c r="L111" s="81" t="s">
        <v>86</v>
      </c>
      <c r="M111" s="82">
        <f>D111/VLOOKUP(F111,'Kursy walut'!C:E,3,0)</f>
        <v>37308.321406665302</v>
      </c>
      <c r="N111" s="81" t="s">
        <v>85</v>
      </c>
      <c r="O111" s="81" t="e">
        <f t="shared" si="1"/>
        <v>#VALUE!</v>
      </c>
    </row>
    <row r="112" spans="1:15" ht="13" x14ac:dyDescent="0.15">
      <c r="A112" s="73" t="s">
        <v>749</v>
      </c>
      <c r="B112" s="74" t="s">
        <v>487</v>
      </c>
      <c r="C112" s="83" t="s">
        <v>526</v>
      </c>
      <c r="D112" s="83" t="s">
        <v>523</v>
      </c>
      <c r="E112" s="83" t="s">
        <v>527</v>
      </c>
      <c r="F112" s="83" t="s">
        <v>85</v>
      </c>
      <c r="G112" s="99" t="s">
        <v>488</v>
      </c>
      <c r="H112" s="100">
        <f t="shared" si="0"/>
        <v>0</v>
      </c>
      <c r="I112" s="78">
        <f>IF(F112="USD",D112*VLOOKUP(J112,'Kursy walut'!C:E,2,0),IF(F112="EUR",D112*VLOOKUP(J112,'Kursy walut'!C:E,3,0),D112))</f>
        <v>393374099.29319996</v>
      </c>
      <c r="J112" s="85" t="s">
        <v>488</v>
      </c>
      <c r="K112" s="80">
        <f>D112/VLOOKUP(F112,'Kursy walut'!C:E,2,0)</f>
        <v>35609.899246796442</v>
      </c>
      <c r="L112" s="81" t="s">
        <v>86</v>
      </c>
      <c r="M112" s="82">
        <f>D112/VLOOKUP(F112,'Kursy walut'!C:E,3,0)</f>
        <v>36404</v>
      </c>
      <c r="N112" s="81" t="s">
        <v>85</v>
      </c>
      <c r="O112" s="81" t="e">
        <f t="shared" si="1"/>
        <v>#VALUE!</v>
      </c>
    </row>
    <row r="113" spans="1:15" ht="13" x14ac:dyDescent="0.15">
      <c r="A113" s="73" t="s">
        <v>750</v>
      </c>
      <c r="B113" s="74" t="s">
        <v>751</v>
      </c>
      <c r="C113" s="83" t="s">
        <v>522</v>
      </c>
      <c r="D113" s="83" t="s">
        <v>532</v>
      </c>
      <c r="E113" s="83" t="s">
        <v>543</v>
      </c>
      <c r="F113" s="83" t="s">
        <v>86</v>
      </c>
      <c r="G113" s="101" t="s">
        <v>491</v>
      </c>
      <c r="H113" s="100">
        <f t="shared" si="0"/>
        <v>0</v>
      </c>
      <c r="I113" s="78">
        <f>IF(F113="USD",D113*VLOOKUP(J113,'Kursy walut'!C:E,2,0),IF(F113="EUR",D113*VLOOKUP(J113,'Kursy walut'!C:E,3,0),D113))</f>
        <v>298853.52840000001</v>
      </c>
      <c r="J113" s="97" t="s">
        <v>491</v>
      </c>
      <c r="K113" s="80">
        <f>D113/VLOOKUP(F113,'Kursy walut'!C:E,2,0)</f>
        <v>36434</v>
      </c>
      <c r="L113" s="81" t="s">
        <v>86</v>
      </c>
      <c r="M113" s="82">
        <f>D113/VLOOKUP(F113,'Kursy walut'!C:E,3,0)</f>
        <v>37245.961970967081</v>
      </c>
      <c r="N113" s="81" t="s">
        <v>85</v>
      </c>
      <c r="O113" s="81" t="e">
        <f t="shared" si="1"/>
        <v>#VALUE!</v>
      </c>
    </row>
    <row r="114" spans="1:15" ht="13" x14ac:dyDescent="0.15">
      <c r="A114" s="73" t="s">
        <v>79</v>
      </c>
      <c r="B114" s="74" t="s">
        <v>190</v>
      </c>
      <c r="C114" s="83" t="s">
        <v>752</v>
      </c>
      <c r="D114" s="83" t="s">
        <v>753</v>
      </c>
      <c r="E114" s="83" t="s">
        <v>754</v>
      </c>
      <c r="F114" s="83" t="s">
        <v>191</v>
      </c>
      <c r="G114" s="99" t="s">
        <v>191</v>
      </c>
      <c r="H114" s="100">
        <f t="shared" si="0"/>
        <v>1</v>
      </c>
      <c r="I114" s="78" t="str">
        <f>IF(F114="USD",D114*VLOOKUP(J114,'Kursy walut'!C:E,2,0),IF(F114="EUR",D114*VLOOKUP(J114,'Kursy walut'!C:E,3,0),D114))</f>
        <v>220,000.00</v>
      </c>
      <c r="J114" s="79" t="s">
        <v>191</v>
      </c>
      <c r="K114" s="80" t="e">
        <f>D114/VLOOKUP(F114,'Kursy walut'!C:E,2,0)</f>
        <v>#VALUE!</v>
      </c>
      <c r="L114" s="81" t="s">
        <v>86</v>
      </c>
      <c r="M114" s="82" t="e">
        <f>D114/VLOOKUP(F114,'Kursy walut'!C:E,3,0)</f>
        <v>#VALUE!</v>
      </c>
      <c r="N114" s="81" t="s">
        <v>85</v>
      </c>
      <c r="O114" s="81" t="e">
        <f t="shared" si="1"/>
        <v>#VALUE!</v>
      </c>
    </row>
    <row r="115" spans="1:15" ht="13" x14ac:dyDescent="0.15">
      <c r="A115" s="73" t="s">
        <v>75</v>
      </c>
      <c r="B115" s="74" t="s">
        <v>170</v>
      </c>
      <c r="C115" s="83" t="s">
        <v>755</v>
      </c>
      <c r="D115" s="83" t="s">
        <v>756</v>
      </c>
      <c r="E115" s="83" t="s">
        <v>757</v>
      </c>
      <c r="F115" s="83" t="s">
        <v>171</v>
      </c>
      <c r="G115" s="99" t="s">
        <v>171</v>
      </c>
      <c r="H115" s="100">
        <f t="shared" si="0"/>
        <v>1</v>
      </c>
      <c r="I115" s="78" t="str">
        <f>IF(F115="USD",D115*VLOOKUP(J115,'Kursy walut'!C:E,2,0),IF(F115="EUR",D115*VLOOKUP(J115,'Kursy walut'!C:E,3,0),D115))</f>
        <v>159.00</v>
      </c>
      <c r="J115" s="79" t="s">
        <v>171</v>
      </c>
      <c r="K115" s="80" t="e">
        <f>D115/VLOOKUP(F115,'Kursy walut'!C:E,2,0)</f>
        <v>#VALUE!</v>
      </c>
      <c r="L115" s="81" t="s">
        <v>86</v>
      </c>
      <c r="M115" s="82" t="e">
        <f>D115/VLOOKUP(F115,'Kursy walut'!C:E,3,0)</f>
        <v>#VALUE!</v>
      </c>
      <c r="N115" s="81" t="s">
        <v>85</v>
      </c>
      <c r="O115" s="81" t="e">
        <f t="shared" si="1"/>
        <v>#VALUE!</v>
      </c>
    </row>
    <row r="116" spans="1:15" ht="13" x14ac:dyDescent="0.15">
      <c r="A116" s="73" t="s">
        <v>758</v>
      </c>
      <c r="B116" s="74" t="s">
        <v>497</v>
      </c>
      <c r="C116" s="83" t="s">
        <v>759</v>
      </c>
      <c r="D116" s="83" t="s">
        <v>760</v>
      </c>
      <c r="E116" s="83" t="s">
        <v>543</v>
      </c>
      <c r="F116" s="83" t="s">
        <v>86</v>
      </c>
      <c r="G116" s="99" t="s">
        <v>498</v>
      </c>
      <c r="H116" s="100">
        <f t="shared" si="0"/>
        <v>0</v>
      </c>
      <c r="I116" s="78">
        <f>IF(F116="USD",D116*VLOOKUP(J116,'Kursy walut'!C:E,2,0),IF(F116="EUR",D116*VLOOKUP(J116,'Kursy walut'!C:E,3,0),D116))</f>
        <v>346076.11050000001</v>
      </c>
      <c r="J116" s="85" t="s">
        <v>498</v>
      </c>
      <c r="K116" s="80">
        <f>D116/VLOOKUP(F116,'Kursy walut'!C:E,2,0)</f>
        <v>21855</v>
      </c>
      <c r="L116" s="81" t="s">
        <v>86</v>
      </c>
      <c r="M116" s="82">
        <f>D116/VLOOKUP(F116,'Kursy walut'!C:E,3,0)</f>
        <v>22342.056839092213</v>
      </c>
      <c r="N116" s="81" t="s">
        <v>85</v>
      </c>
      <c r="O116" s="81" t="e">
        <f t="shared" si="1"/>
        <v>#VALUE!</v>
      </c>
    </row>
  </sheetData>
  <autoFilter ref="A1:O116" xr:uid="{00000000-0009-0000-0000-000008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AB52"/>
  <sheetViews>
    <sheetView workbookViewId="0"/>
  </sheetViews>
  <sheetFormatPr baseColWidth="10" defaultColWidth="12.6640625" defaultRowHeight="15.75" customHeight="1" x14ac:dyDescent="0.15"/>
  <cols>
    <col min="2" max="2" width="37.83203125" customWidth="1"/>
    <col min="3" max="3" width="41" customWidth="1"/>
  </cols>
  <sheetData>
    <row r="1" spans="1:28" ht="15.75" customHeight="1" x14ac:dyDescent="0.15">
      <c r="C1" s="52" t="s">
        <v>503</v>
      </c>
      <c r="D1" s="52" t="s">
        <v>504</v>
      </c>
      <c r="E1" s="102" t="s">
        <v>762</v>
      </c>
      <c r="F1" s="52" t="s">
        <v>505</v>
      </c>
    </row>
    <row r="2" spans="1:28" ht="15.75" customHeight="1" x14ac:dyDescent="0.15">
      <c r="A2" s="52" t="s">
        <v>83</v>
      </c>
      <c r="B2" s="103" t="str">
        <f t="shared" ref="B2:B52" si="0">CONCATENATE("https://help.netflix.com/en/node/24926/",A2)</f>
        <v>https://help.netflix.com/en/node/24926/ar</v>
      </c>
      <c r="C2" s="14" t="str">
        <f ca="1">IFERROR(__xludf.DUMMYFUNCTION("INDEX(IMPORTHTML(B2,""table"",1),2,2)"),"✓ Watch on 2 supported devices at a time")</f>
        <v>✓ Watch on 2 supported devices at a time</v>
      </c>
      <c r="D2" s="14" t="str">
        <f ca="1">IFERROR(__xludf.DUMMYFUNCTION("INDEX(IMPORTHTML(B2,""table"",1),2,3)"),"✓ Watch on 4 supported devices at a time")</f>
        <v>✓ Watch on 4 supported devices at a time</v>
      </c>
      <c r="E2" s="104" t="s">
        <v>763</v>
      </c>
      <c r="F2" s="14" t="str">
        <f ca="1">IFERROR(__xludf.DUMMYFUNCTION("INDEX(IMPORTHTML(B2,""table"",1),2,4)"),"#REF!")</f>
        <v>#REF!</v>
      </c>
      <c r="H2" s="14" t="str">
        <f ca="1">SUBSTITUTE(C2,"*","")</f>
        <v>✓ Watch on 2 supported devices at a time</v>
      </c>
      <c r="I2" s="14" t="str">
        <f ca="1">SUBSTITUTE(H2,"$","")</f>
        <v>✓ Watch on 2 supported devices at a time</v>
      </c>
    </row>
    <row r="3" spans="1:28" ht="15.75" customHeight="1" x14ac:dyDescent="0.15">
      <c r="A3" s="52" t="s">
        <v>57</v>
      </c>
      <c r="B3" s="103" t="str">
        <f t="shared" si="0"/>
        <v>https://help.netflix.com/en/node/24926/au</v>
      </c>
      <c r="C3" s="14" t="str">
        <f ca="1">IFERROR(__xludf.DUMMYFUNCTION("INDEX(IMPORTHTML(B3,""table"",1),2,2)"),"✓ Watch on 1 supported device at a time")</f>
        <v>✓ Watch on 1 supported device at a time</v>
      </c>
      <c r="D3" s="14" t="str">
        <f ca="1">IFERROR(__xludf.DUMMYFUNCTION("INDEX(IMPORTHTML(B3,""table"",1),2,3)"),"✓ Watch on 2 supported devices at a time")</f>
        <v>✓ Watch on 2 supported devices at a time</v>
      </c>
      <c r="E3" s="104" t="s">
        <v>764</v>
      </c>
      <c r="F3" s="14" t="str">
        <f ca="1">IFERROR(__xludf.DUMMYFUNCTION("INDEX(IMPORTHTML(""https://help.netflix.com/en/node/24926/af"",""table"",1),2,4)"),"#REF!")</f>
        <v>#REF!</v>
      </c>
    </row>
    <row r="4" spans="1:28" ht="15.75" customHeight="1" x14ac:dyDescent="0.15">
      <c r="A4" s="52" t="s">
        <v>547</v>
      </c>
      <c r="B4" s="103" t="str">
        <f t="shared" si="0"/>
        <v>https://help.netflix.com/en/node/24926/by</v>
      </c>
      <c r="C4" s="14" t="str">
        <f ca="1">IFERROR(__xludf.DUMMYFUNCTION("INDEX(IMPORTHTML(B4,""table"",1),2,2)"),"✓ Watch on 2 supported devices at a time")</f>
        <v>✓ Watch on 2 supported devices at a time</v>
      </c>
      <c r="D4" s="14" t="str">
        <f ca="1">IFERROR(__xludf.DUMMYFUNCTION("INDEX(IMPORTHTML(B4,""table"",1),2,3)"),"✓ Watch on 4 supported devices at a time")</f>
        <v>✓ Watch on 4 supported devices at a time</v>
      </c>
      <c r="E4" s="104" t="s">
        <v>765</v>
      </c>
      <c r="F4" s="14" t="str">
        <f ca="1">IFERROR(__xludf.DUMMYFUNCTION("INDEX(IMPORTHTML(""https://help.netflix.com/en/node/24926/af"",""table"",1),2,4)"),"#REF!")</f>
        <v>#REF!</v>
      </c>
    </row>
    <row r="5" spans="1:28" ht="15.75" customHeight="1" x14ac:dyDescent="0.15">
      <c r="A5" s="52" t="s">
        <v>77</v>
      </c>
      <c r="B5" s="103" t="str">
        <f t="shared" si="0"/>
        <v>https://help.netflix.com/en/node/24926/br</v>
      </c>
      <c r="C5" s="14" t="str">
        <f ca="1">IFERROR(__xludf.DUMMYFUNCTION("INDEX(IMPORTHTML(B5,""table"",1),2,2)"),"✓ Watch on 1 supported device at a time")</f>
        <v>✓ Watch on 1 supported device at a time</v>
      </c>
      <c r="D5" s="14" t="str">
        <f ca="1">IFERROR(__xludf.DUMMYFUNCTION("INDEX(IMPORTHTML(B5,""table"",1),2,3)"),"✓ Watch on 2 supported devices at a time")</f>
        <v>✓ Watch on 2 supported devices at a time</v>
      </c>
      <c r="E5" s="104" t="s">
        <v>766</v>
      </c>
      <c r="F5" s="14" t="str">
        <f ca="1">IFERROR(__xludf.DUMMYFUNCTION("INDEX(IMPORTHTML(""https://help.netflix.com/en/node/24926/af"",""table"",1),2,4)"),"#REF!")</f>
        <v>#REF!</v>
      </c>
    </row>
    <row r="6" spans="1:28" ht="15.75" customHeight="1" x14ac:dyDescent="0.15">
      <c r="A6" s="52" t="s">
        <v>68</v>
      </c>
      <c r="B6" s="103" t="str">
        <f t="shared" si="0"/>
        <v>https://help.netflix.com/en/node/24926/cl</v>
      </c>
      <c r="C6" s="14" t="str">
        <f ca="1">IFERROR(__xludf.DUMMYFUNCTION("INDEX(IMPORTHTML(B6,""table"",1),2,2)"),"✓ Watch on 2 supported devices at a time")</f>
        <v>✓ Watch on 2 supported devices at a time</v>
      </c>
      <c r="D6" s="14" t="str">
        <f ca="1">IFERROR(__xludf.DUMMYFUNCTION("INDEX(IMPORTHTML(B6,""table"",1),2,3)"),"✓ Watch on 4 supported devices at a time")</f>
        <v>✓ Watch on 4 supported devices at a time</v>
      </c>
      <c r="E6" s="104" t="s">
        <v>767</v>
      </c>
      <c r="F6" s="14" t="str">
        <f ca="1">IFERROR(__xludf.DUMMYFUNCTION("INDEX(IMPORTHTML(""https://help.netflix.com/en/node/24926/af"",""table"",1),2,4)"),"#REF!")</f>
        <v>#REF!</v>
      </c>
    </row>
    <row r="7" spans="1:28" ht="15.75" customHeight="1" x14ac:dyDescent="0.15">
      <c r="A7" s="52" t="s">
        <v>80</v>
      </c>
      <c r="B7" s="103" t="str">
        <f t="shared" si="0"/>
        <v>https://help.netflix.com/en/node/24926/co</v>
      </c>
      <c r="C7" s="14" t="str">
        <f ca="1">IFERROR(__xludf.DUMMYFUNCTION("INDEX(IMPORTHTML(B7,""table"",1),2,2)"),"✓ Watch on 2 supported devices at a time")</f>
        <v>✓ Watch on 2 supported devices at a time</v>
      </c>
      <c r="D7" s="14" t="str">
        <f ca="1">IFERROR(__xludf.DUMMYFUNCTION("INDEX(IMPORTHTML(B7,""table"",1),2,3)"),"✓ Watch on 4 supported devices at a time")</f>
        <v>✓ Watch on 4 supported devices at a time</v>
      </c>
      <c r="E7" s="104" t="s">
        <v>768</v>
      </c>
      <c r="F7" s="14" t="str">
        <f ca="1">IFERROR(__xludf.DUMMYFUNCTION("INDEX(IMPORTHTML(""https://help.netflix.com/en/node/24926/af"",""table"",1),2,4)"),"#REF!")</f>
        <v>#REF!</v>
      </c>
    </row>
    <row r="8" spans="1:28" ht="15.75" customHeight="1" x14ac:dyDescent="0.15">
      <c r="A8" s="52" t="s">
        <v>41</v>
      </c>
      <c r="B8" s="103" t="str">
        <f t="shared" si="0"/>
        <v>https://help.netflix.com/en/node/24926/cz</v>
      </c>
      <c r="D8" s="14" t="str">
        <f ca="1">IFERROR(__xludf.DUMMYFUNCTION("INDEX(IMPORTHTML(B8,""table"",1),2,3)"),"✓ Watch on 4 supported devices at a time")</f>
        <v>✓ Watch on 4 supported devices at a time</v>
      </c>
      <c r="E8" s="104" t="s">
        <v>769</v>
      </c>
    </row>
    <row r="9" spans="1:28" ht="15.75" customHeight="1" x14ac:dyDescent="0.15">
      <c r="A9" s="52" t="s">
        <v>58</v>
      </c>
      <c r="B9" s="103" t="str">
        <f t="shared" si="0"/>
        <v>https://help.netflix.com/en/node/24926/mx</v>
      </c>
      <c r="D9" s="14" t="str">
        <f ca="1">IFERROR(__xludf.DUMMYFUNCTION("INDEX(IMPORTHTML(B9,""table"",1),2,3)"),"✓ Watch on 2 supported devices at a time")</f>
        <v>✓ Watch on 2 supported devices at a time</v>
      </c>
      <c r="E9" s="104" t="s">
        <v>770</v>
      </c>
    </row>
    <row r="10" spans="1:28" ht="15.75" customHeight="1" x14ac:dyDescent="0.15">
      <c r="A10" s="52" t="s">
        <v>70</v>
      </c>
      <c r="B10" s="103" t="str">
        <f t="shared" si="0"/>
        <v>https://help.netflix.com/en/node/24926/pl</v>
      </c>
      <c r="D10" s="14" t="str">
        <f ca="1">IFERROR(__xludf.DUMMYFUNCTION("INDEX(IMPORTHTML(B10,""table"",1),2,3)"),"✓ Watch on 4 supported devices at a time")</f>
        <v>✓ Watch on 4 supported devices at a time</v>
      </c>
      <c r="E10" s="104" t="s">
        <v>771</v>
      </c>
    </row>
    <row r="11" spans="1:28" ht="15.75" customHeight="1" x14ac:dyDescent="0.15">
      <c r="A11" s="105" t="s">
        <v>709</v>
      </c>
      <c r="B11" s="106" t="str">
        <f t="shared" si="0"/>
        <v>https://help.netflix.com/en/node/24926/ru</v>
      </c>
      <c r="C11" s="107"/>
      <c r="D11" s="14" t="str">
        <f ca="1">IFERROR(__xludf.DUMMYFUNCTION("INDEX(IMPORTHTML(B11,""table"",1),2,3)"),"#N/A")</f>
        <v>#N/A</v>
      </c>
      <c r="E11" s="108" t="e">
        <v>#N/A</v>
      </c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5.75" customHeight="1" x14ac:dyDescent="0.15">
      <c r="A12" s="52" t="s">
        <v>61</v>
      </c>
      <c r="B12" s="103" t="str">
        <f t="shared" si="0"/>
        <v>https://help.netflix.com/en/node/24926/sg</v>
      </c>
      <c r="D12" s="14" t="str">
        <f ca="1">IFERROR(__xludf.DUMMYFUNCTION("INDEX(IMPORTHTML(B12,""table"",1),2,3)"),"✓ Watch on 4 supported devices at a time")</f>
        <v>✓ Watch on 4 supported devices at a time</v>
      </c>
      <c r="E12" s="104" t="s">
        <v>772</v>
      </c>
    </row>
    <row r="13" spans="1:28" ht="15.75" customHeight="1" x14ac:dyDescent="0.15">
      <c r="A13" s="52" t="s">
        <v>47</v>
      </c>
      <c r="B13" s="103" t="str">
        <f t="shared" si="0"/>
        <v>https://help.netflix.com/en/node/24926/sk</v>
      </c>
      <c r="D13" s="14" t="str">
        <f ca="1">IFERROR(__xludf.DUMMYFUNCTION("INDEX(IMPORTHTML(B13,""table"",1),2,3)"),"✓ Watch on 4 supported devices at a time")</f>
        <v>✓ Watch on 4 supported devices at a time</v>
      </c>
      <c r="E13" s="104" t="s">
        <v>765</v>
      </c>
    </row>
    <row r="14" spans="1:28" ht="15.75" customHeight="1" x14ac:dyDescent="0.15">
      <c r="A14" s="52" t="s">
        <v>33</v>
      </c>
      <c r="B14" s="103" t="str">
        <f t="shared" si="0"/>
        <v>https://help.netflix.com/en/node/24926/es</v>
      </c>
      <c r="D14" s="14" t="str">
        <f ca="1">IFERROR(__xludf.DUMMYFUNCTION("INDEX(IMPORTHTML(B14,""table"",1),2,3)"),"✓ Watch on 2 supported devices at a time")</f>
        <v>✓ Watch on 2 supported devices at a time</v>
      </c>
      <c r="E14" s="104" t="s">
        <v>773</v>
      </c>
    </row>
    <row r="15" spans="1:28" ht="15.75" customHeight="1" x14ac:dyDescent="0.15">
      <c r="A15" s="52" t="s">
        <v>84</v>
      </c>
      <c r="B15" s="103" t="str">
        <f t="shared" si="0"/>
        <v>https://help.netflix.com/en/node/24926/tr</v>
      </c>
      <c r="D15" s="14" t="str">
        <f ca="1">IFERROR(__xludf.DUMMYFUNCTION("INDEX(IMPORTHTML(B15,""table"",1),2,3)"),"✓ Watch on 4 supported devices at a time")</f>
        <v>✓ Watch on 4 supported devices at a time</v>
      </c>
      <c r="E15" s="104" t="s">
        <v>774</v>
      </c>
    </row>
    <row r="16" spans="1:28" ht="15.75" customHeight="1" x14ac:dyDescent="0.15">
      <c r="A16" s="52" t="s">
        <v>62</v>
      </c>
      <c r="B16" s="103" t="str">
        <f t="shared" si="0"/>
        <v>https://help.netflix.com/en/node/24926/ua</v>
      </c>
      <c r="D16" s="14" t="str">
        <f ca="1">IFERROR(__xludf.DUMMYFUNCTION("INDEX(IMPORTHTML(B16,""table"",1),2,3)"),"✓ Watch on 4 supported devices at a time")</f>
        <v>✓ Watch on 4 supported devices at a time</v>
      </c>
      <c r="E16" s="108" t="s">
        <v>775</v>
      </c>
    </row>
    <row r="17" spans="1:5" ht="15.75" customHeight="1" x14ac:dyDescent="0.15">
      <c r="A17" s="52" t="s">
        <v>75</v>
      </c>
      <c r="B17" s="103" t="str">
        <f t="shared" si="0"/>
        <v>https://help.netflix.com/en/node/24926/za</v>
      </c>
      <c r="D17" s="14" t="str">
        <f ca="1">IFERROR(__xludf.DUMMYFUNCTION("INDEX(IMPORTHTML(B17,""table"",1),2,3)"),"✓ Watch on 2 supported devices at a time")</f>
        <v>✓ Watch on 2 supported devices at a time</v>
      </c>
      <c r="E17" s="108" t="s">
        <v>776</v>
      </c>
    </row>
    <row r="18" spans="1:5" ht="15.75" customHeight="1" x14ac:dyDescent="0.15">
      <c r="A18" s="52" t="s">
        <v>73</v>
      </c>
      <c r="B18" s="103" t="str">
        <f t="shared" si="0"/>
        <v>https://help.netflix.com/en/node/24926/my</v>
      </c>
      <c r="D18" s="14" t="str">
        <f ca="1">IFERROR(__xludf.DUMMYFUNCTION("INDEX(IMPORTHTML(B18,""table"",1),2,3)"),"✓ Watch on 2 supported devices at a time")</f>
        <v>✓ Watch on 2 supported devices at a time</v>
      </c>
      <c r="E18" s="108" t="s">
        <v>777</v>
      </c>
    </row>
    <row r="19" spans="1:5" ht="15.75" customHeight="1" x14ac:dyDescent="0.15">
      <c r="A19" s="52" t="s">
        <v>66</v>
      </c>
      <c r="B19" s="103" t="str">
        <f t="shared" si="0"/>
        <v>https://help.netflix.com/en/node/24926/ng</v>
      </c>
      <c r="D19" s="14" t="str">
        <f ca="1">IFERROR(__xludf.DUMMYFUNCTION("INDEX(IMPORTHTML(B19,""table"",1),2,3)"),"✓ Watch on 2 supported devices at a time")</f>
        <v>✓ Watch on 2 supported devices at a time</v>
      </c>
      <c r="E19" s="108" t="s">
        <v>778</v>
      </c>
    </row>
    <row r="20" spans="1:5" ht="15.75" customHeight="1" x14ac:dyDescent="0.15">
      <c r="A20" s="52" t="s">
        <v>81</v>
      </c>
      <c r="B20" s="103" t="str">
        <f t="shared" si="0"/>
        <v>https://help.netflix.com/en/node/24926/ph</v>
      </c>
      <c r="D20" s="14" t="str">
        <f ca="1">IFERROR(__xludf.DUMMYFUNCTION("INDEX(IMPORTHTML(B20,""table"",1),2,3)"),"✓ Watch on 2 supported devices at a time")</f>
        <v>✓ Watch on 2 supported devices at a time</v>
      </c>
      <c r="E20" s="108" t="s">
        <v>779</v>
      </c>
    </row>
    <row r="21" spans="1:5" ht="15.75" customHeight="1" x14ac:dyDescent="0.15">
      <c r="A21" s="52" t="s">
        <v>74</v>
      </c>
      <c r="B21" s="103" t="str">
        <f t="shared" si="0"/>
        <v>https://help.netflix.com/en/node/24926/pk</v>
      </c>
      <c r="D21" s="14" t="str">
        <f ca="1">IFERROR(__xludf.DUMMYFUNCTION("INDEX(IMPORTHTML(B21,""table"",1),2,3)"),"✓ Watch on 2 supported devices at a time")</f>
        <v>✓ Watch on 2 supported devices at a time</v>
      </c>
      <c r="E21" s="108" t="s">
        <v>780</v>
      </c>
    </row>
    <row r="22" spans="1:5" ht="15.75" customHeight="1" x14ac:dyDescent="0.15">
      <c r="A22" s="52" t="s">
        <v>79</v>
      </c>
      <c r="B22" s="103" t="str">
        <f t="shared" si="0"/>
        <v>https://help.netflix.com/en/node/24926/vn</v>
      </c>
      <c r="D22" s="14" t="str">
        <f ca="1">IFERROR(__xludf.DUMMYFUNCTION("INDEX(IMPORTHTML(B22,""table"",1),2,3)"),"✓ Watch on 2 supported devices at a time")</f>
        <v>✓ Watch on 2 supported devices at a time</v>
      </c>
      <c r="E22" s="108" t="s">
        <v>781</v>
      </c>
    </row>
    <row r="23" spans="1:5" ht="15.75" customHeight="1" x14ac:dyDescent="0.15">
      <c r="A23" s="52" t="s">
        <v>82</v>
      </c>
      <c r="B23" s="103" t="str">
        <f t="shared" si="0"/>
        <v>https://help.netflix.com/en/node/24926/in</v>
      </c>
      <c r="D23" s="14" t="str">
        <f ca="1">IFERROR(__xludf.DUMMYFUNCTION("INDEX(IMPORTHTML(B23,""table"",1),2,3)"),"✓ Watch on 2 supported devices at a time")</f>
        <v>✓ Watch on 2 supported devices at a time</v>
      </c>
      <c r="E23" s="108" t="s">
        <v>782</v>
      </c>
    </row>
    <row r="24" spans="1:5" ht="15.75" customHeight="1" x14ac:dyDescent="0.15">
      <c r="A24" s="52" t="s">
        <v>40</v>
      </c>
      <c r="B24" s="103" t="str">
        <f t="shared" si="0"/>
        <v>https://help.netflix.com/en/node/24926/gr</v>
      </c>
      <c r="D24" s="14" t="str">
        <f ca="1">IFERROR(__xludf.DUMMYFUNCTION("INDEX(IMPORTHTML(B24,""table"",1),2,3)"),"✓ Watch on 4 supported devices at a time")</f>
        <v>✓ Watch on 4 supported devices at a time</v>
      </c>
      <c r="E24" s="104" t="s">
        <v>783</v>
      </c>
    </row>
    <row r="25" spans="1:5" ht="15.75" customHeight="1" x14ac:dyDescent="0.15">
      <c r="A25" s="52" t="s">
        <v>78</v>
      </c>
      <c r="B25" s="103" t="str">
        <f t="shared" si="0"/>
        <v>https://help.netflix.com/en/node/24926/th</v>
      </c>
      <c r="D25" s="14" t="str">
        <f ca="1">IFERROR(__xludf.DUMMYFUNCTION("INDEX(IMPORTHTML(B25,""table"",1),2,3)"),"✓ Watch on 2 supported devices at a time")</f>
        <v>✓ Watch on 2 supported devices at a time</v>
      </c>
      <c r="E25" s="108" t="s">
        <v>784</v>
      </c>
    </row>
    <row r="26" spans="1:5" ht="15.75" customHeight="1" x14ac:dyDescent="0.15">
      <c r="A26" s="52" t="s">
        <v>32</v>
      </c>
      <c r="B26" s="103" t="str">
        <f t="shared" si="0"/>
        <v>https://help.netflix.com/en/node/24926/fi</v>
      </c>
      <c r="D26" s="14" t="str">
        <f ca="1">IFERROR(__xludf.DUMMYFUNCTION("INDEX(IMPORTHTML(B26,""table"",1),2,3)"),"✓ Watch on 4 supported devices at a time")</f>
        <v>✓ Watch on 4 supported devices at a time</v>
      </c>
      <c r="E26" s="104" t="s">
        <v>785</v>
      </c>
    </row>
    <row r="27" spans="1:5" ht="15.75" customHeight="1" x14ac:dyDescent="0.15">
      <c r="A27" s="52" t="s">
        <v>29</v>
      </c>
      <c r="B27" s="103" t="str">
        <f t="shared" si="0"/>
        <v>https://help.netflix.com/en/node/24926/de</v>
      </c>
      <c r="D27" s="14" t="str">
        <f ca="1">IFERROR(__xludf.DUMMYFUNCTION("INDEX(IMPORTHTML(B27,""table"",1),2,3)"),"✓ Watch on 2 supported devices at a time")</f>
        <v>✓ Watch on 2 supported devices at a time</v>
      </c>
      <c r="E27" s="104" t="s">
        <v>773</v>
      </c>
    </row>
    <row r="28" spans="1:5" ht="15.75" customHeight="1" x14ac:dyDescent="0.15">
      <c r="A28" s="52" t="s">
        <v>34</v>
      </c>
      <c r="B28" s="103" t="str">
        <f t="shared" si="0"/>
        <v>https://help.netflix.com/en/node/24926/it</v>
      </c>
      <c r="D28" s="14" t="str">
        <f ca="1">IFERROR(__xludf.DUMMYFUNCTION("INDEX(IMPORTHTML(B28,""table"",1),2,3)"),"✓ Watch on 2 supported devices at a time")</f>
        <v>✓ Watch on 2 supported devices at a time</v>
      </c>
      <c r="E28" s="104" t="s">
        <v>773</v>
      </c>
    </row>
    <row r="29" spans="1:5" ht="15.75" customHeight="1" x14ac:dyDescent="0.15">
      <c r="A29" s="52" t="s">
        <v>65</v>
      </c>
      <c r="B29" s="103" t="str">
        <f t="shared" si="0"/>
        <v>https://help.netflix.com/en/node/24926/hk</v>
      </c>
      <c r="D29" s="14" t="str">
        <f ca="1">IFERROR(__xludf.DUMMYFUNCTION("INDEX(IMPORTHTML(B29,""table"",1),2,3)"),"✓ Watch on 4 supported devices at a time")</f>
        <v>✓ Watch on 4 supported devices at a time</v>
      </c>
      <c r="E29" s="104" t="s">
        <v>786</v>
      </c>
    </row>
    <row r="30" spans="1:5" ht="15.75" customHeight="1" x14ac:dyDescent="0.15">
      <c r="A30" s="52" t="s">
        <v>787</v>
      </c>
      <c r="B30" s="103" t="str">
        <f t="shared" si="0"/>
        <v>https://help.netflix.com/en/node/24926/gb</v>
      </c>
      <c r="D30" s="14" t="str">
        <f ca="1">IFERROR(__xludf.DUMMYFUNCTION("INDEX(IMPORTHTML(B30,""table"",1),2,3)"),"✓ Watch on 2 supported devices at a time")</f>
        <v>✓ Watch on 2 supported devices at a time</v>
      </c>
      <c r="E30" s="108" t="s">
        <v>788</v>
      </c>
    </row>
    <row r="31" spans="1:5" ht="15.75" customHeight="1" x14ac:dyDescent="0.15">
      <c r="A31" s="52" t="s">
        <v>63</v>
      </c>
      <c r="B31" s="103" t="str">
        <f t="shared" si="0"/>
        <v>https://help.netflix.com/en/node/24926/pe</v>
      </c>
      <c r="D31" s="14" t="str">
        <f ca="1">IFERROR(__xludf.DUMMYFUNCTION("INDEX(IMPORTHTML(B31,""table"",1),2,3)"),"✓ Watch on 4 supported devices at a time")</f>
        <v>✓ Watch on 4 supported devices at a time</v>
      </c>
      <c r="E31" s="104" t="s">
        <v>789</v>
      </c>
    </row>
    <row r="32" spans="1:5" ht="15.75" customHeight="1" x14ac:dyDescent="0.15">
      <c r="A32" s="52" t="s">
        <v>45</v>
      </c>
      <c r="B32" s="103" t="str">
        <f t="shared" si="0"/>
        <v>https://help.netflix.com/en/node/24926/pt</v>
      </c>
      <c r="D32" s="14" t="str">
        <f ca="1">IFERROR(__xludf.DUMMYFUNCTION("INDEX(IMPORTHTML(B32,""table"",1),2,3)"),"✓ Watch on 4 supported devices at a time")</f>
        <v>✓ Watch on 4 supported devices at a time</v>
      </c>
      <c r="E32" s="104" t="s">
        <v>785</v>
      </c>
    </row>
    <row r="33" spans="1:5" ht="15.75" customHeight="1" x14ac:dyDescent="0.15">
      <c r="A33" s="52" t="s">
        <v>69</v>
      </c>
      <c r="B33" s="103" t="str">
        <f t="shared" si="0"/>
        <v>https://help.netflix.com/en/node/24926/ae</v>
      </c>
      <c r="D33" s="14" t="str">
        <f ca="1">IFERROR(__xludf.DUMMYFUNCTION("INDEX(IMPORTHTML(B33,""table"",1),2,3)"),"✓ Watch on 4 supported devices at a time")</f>
        <v>✓ Watch on 4 supported devices at a time</v>
      </c>
      <c r="E33" s="104" t="s">
        <v>790</v>
      </c>
    </row>
    <row r="34" spans="1:5" ht="15.75" customHeight="1" x14ac:dyDescent="0.15">
      <c r="A34" s="52" t="s">
        <v>72</v>
      </c>
      <c r="B34" s="103" t="str">
        <f t="shared" si="0"/>
        <v>https://help.netflix.com/en/node/24926/hu</v>
      </c>
      <c r="D34" s="14" t="str">
        <f ca="1">IFERROR(__xludf.DUMMYFUNCTION("INDEX(IMPORTHTML(B34,""table"",1),2,3)"),"✓ Watch on 4 supported devices at a time")</f>
        <v>✓ Watch on 4 supported devices at a time</v>
      </c>
      <c r="E34" s="108" t="s">
        <v>791</v>
      </c>
    </row>
    <row r="35" spans="1:5" ht="15.75" customHeight="1" x14ac:dyDescent="0.15">
      <c r="A35" s="52" t="s">
        <v>49</v>
      </c>
      <c r="B35" s="103" t="str">
        <f t="shared" si="0"/>
        <v>https://help.netflix.com/en/node/24926/kz</v>
      </c>
      <c r="D35" s="14" t="str">
        <f ca="1">IFERROR(__xludf.DUMMYFUNCTION("INDEX(IMPORTHTML(B35,""table"",1),2,3)"),"✓ Watch on 4 supported devices at a time")</f>
        <v>✓ Watch on 4 supported devices at a time</v>
      </c>
      <c r="E35" s="108" t="s">
        <v>765</v>
      </c>
    </row>
    <row r="36" spans="1:5" ht="15.75" customHeight="1" x14ac:dyDescent="0.15">
      <c r="A36" s="52" t="s">
        <v>64</v>
      </c>
      <c r="B36" s="103" t="str">
        <f t="shared" si="0"/>
        <v>https://help.netflix.com/en/node/24926/ro</v>
      </c>
      <c r="D36" s="14" t="str">
        <f ca="1">IFERROR(__xludf.DUMMYFUNCTION("INDEX(IMPORTHTML(B36,""table"",1),2,3)"),"✓ Watch on 4 supported devices at a time")</f>
        <v>✓ Watch on 4 supported devices at a time</v>
      </c>
      <c r="E36" s="108" t="s">
        <v>765</v>
      </c>
    </row>
    <row r="37" spans="1:5" ht="15.75" customHeight="1" x14ac:dyDescent="0.15">
      <c r="A37" s="52" t="s">
        <v>59</v>
      </c>
      <c r="B37" s="103" t="str">
        <f t="shared" si="0"/>
        <v>https://help.netflix.com/en/node/24926/sa</v>
      </c>
      <c r="D37" s="14" t="str">
        <f ca="1">IFERROR(__xludf.DUMMYFUNCTION("INDEX(IMPORTHTML(B37,""table"",1),2,3)"),"✓ Watch on 4 supported devices at a time")</f>
        <v>✓ Watch on 4 supported devices at a time</v>
      </c>
      <c r="E37" s="104" t="s">
        <v>792</v>
      </c>
    </row>
    <row r="38" spans="1:5" ht="15.75" customHeight="1" x14ac:dyDescent="0.15">
      <c r="A38" s="52" t="s">
        <v>28</v>
      </c>
      <c r="B38" s="103" t="str">
        <f t="shared" si="0"/>
        <v>https://help.netflix.com/en/node/24926/at</v>
      </c>
      <c r="D38" s="14" t="str">
        <f ca="1">IFERROR(__xludf.DUMMYFUNCTION("INDEX(IMPORTHTML(B38,""table"",1),2,3)"),"✓ Watch on 4 supported devices at a time")</f>
        <v>✓ Watch on 4 supported devices at a time</v>
      </c>
      <c r="E38" s="104" t="s">
        <v>773</v>
      </c>
    </row>
    <row r="39" spans="1:5" ht="13" x14ac:dyDescent="0.15">
      <c r="A39" s="52" t="s">
        <v>25</v>
      </c>
      <c r="B39" s="103" t="str">
        <f t="shared" si="0"/>
        <v>https://help.netflix.com/en/node/24926/ch</v>
      </c>
      <c r="D39" s="14" t="str">
        <f ca="1">IFERROR(__xludf.DUMMYFUNCTION("INDEX(IMPORTHTML(B39,""table"",1),2,3)"),"✓ Watch on 4 supported devices at a time")</f>
        <v>✓ Watch on 4 supported devices at a time</v>
      </c>
      <c r="E39" s="104" t="s">
        <v>793</v>
      </c>
    </row>
    <row r="40" spans="1:5" ht="13" x14ac:dyDescent="0.15">
      <c r="A40" s="52" t="s">
        <v>36</v>
      </c>
      <c r="B40" s="103" t="str">
        <f t="shared" si="0"/>
        <v>https://help.netflix.com/en/node/24926/se</v>
      </c>
      <c r="D40" s="14" t="str">
        <f ca="1">IFERROR(__xludf.DUMMYFUNCTION("INDEX(IMPORTHTML(B40,""table"",1),2,3)"),"✓ Watch on 4 supported devices at a time")</f>
        <v>✓ Watch on 4 supported devices at a time</v>
      </c>
      <c r="E40" s="104" t="s">
        <v>794</v>
      </c>
    </row>
    <row r="41" spans="1:5" ht="13" x14ac:dyDescent="0.15">
      <c r="A41" s="52" t="s">
        <v>30</v>
      </c>
      <c r="B41" s="103" t="str">
        <f t="shared" si="0"/>
        <v>https://help.netflix.com/en/node/24926/ie</v>
      </c>
      <c r="D41" s="14" t="str">
        <f ca="1">IFERROR(__xludf.DUMMYFUNCTION("INDEX(IMPORTHTML(B41,""table"",1),2,3)"),"✓ Watch on 4 supported devices at a time")</f>
        <v>✓ Watch on 4 supported devices at a time</v>
      </c>
      <c r="E41" s="104" t="s">
        <v>795</v>
      </c>
    </row>
    <row r="42" spans="1:5" ht="13" x14ac:dyDescent="0.15">
      <c r="A42" s="52" t="s">
        <v>82</v>
      </c>
      <c r="B42" s="103" t="str">
        <f t="shared" si="0"/>
        <v>https://help.netflix.com/en/node/24926/in</v>
      </c>
      <c r="D42" s="14" t="str">
        <f ca="1">IFERROR(__xludf.DUMMYFUNCTION("INDEX(IMPORTHTML(B42,""table"",1),2,3)"),"✓ Watch on 2 supported devices at a time")</f>
        <v>✓ Watch on 2 supported devices at a time</v>
      </c>
      <c r="E42" s="108" t="s">
        <v>782</v>
      </c>
    </row>
    <row r="43" spans="1:5" ht="13" x14ac:dyDescent="0.15">
      <c r="A43" s="52" t="s">
        <v>48</v>
      </c>
      <c r="B43" s="103" t="str">
        <f t="shared" si="0"/>
        <v>https://help.netflix.com/en/node/24926/nz</v>
      </c>
      <c r="D43" s="14" t="str">
        <f ca="1">IFERROR(__xludf.DUMMYFUNCTION("INDEX(IMPORTHTML(B43,""table"",1),2,3)"),"✓ Watch on 4 supported devices at a time")</f>
        <v>✓ Watch on 4 supported devices at a time</v>
      </c>
      <c r="E43" s="104" t="s">
        <v>796</v>
      </c>
    </row>
    <row r="44" spans="1:5" ht="13" x14ac:dyDescent="0.15">
      <c r="A44" s="52" t="s">
        <v>26</v>
      </c>
      <c r="B44" s="103" t="str">
        <f t="shared" si="0"/>
        <v>https://help.netflix.com/en/node/24926/us</v>
      </c>
      <c r="D44" s="14" t="str">
        <f ca="1">IFERROR(__xludf.DUMMYFUNCTION("INDEX(IMPORTHTML(B44,""table"",1),2,3)"),"✓ Watch on 2 supported devices at a time")</f>
        <v>✓ Watch on 2 supported devices at a time</v>
      </c>
      <c r="E44" s="104" t="s">
        <v>788</v>
      </c>
    </row>
    <row r="45" spans="1:5" ht="13" x14ac:dyDescent="0.15">
      <c r="A45" s="52" t="s">
        <v>37</v>
      </c>
      <c r="B45" s="103" t="str">
        <f t="shared" si="0"/>
        <v>https://help.netflix.com/en/node/24926/ca</v>
      </c>
      <c r="D45" s="14" t="str">
        <f ca="1">IFERROR(__xludf.DUMMYFUNCTION("INDEX(IMPORTHTML(B45,""table"",1),2,3)"),"✓ Watch on 2 supported devices at a time")</f>
        <v>✓ Watch on 2 supported devices at a time</v>
      </c>
      <c r="E45" s="104" t="s">
        <v>797</v>
      </c>
    </row>
    <row r="46" spans="1:5" ht="13" x14ac:dyDescent="0.15">
      <c r="A46" s="52" t="s">
        <v>71</v>
      </c>
      <c r="B46" s="103" t="str">
        <f t="shared" si="0"/>
        <v>https://help.netflix.com/en/node/24926/eg</v>
      </c>
      <c r="D46" s="14" t="str">
        <f ca="1">IFERROR(__xludf.DUMMYFUNCTION("INDEX(IMPORTHTML(B46,""table"",1),2,3)"),"✓ Watch on 4 supported devices at a time")</f>
        <v>✓ Watch on 4 supported devices at a time</v>
      </c>
      <c r="E46" s="104" t="s">
        <v>798</v>
      </c>
    </row>
    <row r="47" spans="1:5" ht="13" x14ac:dyDescent="0.15">
      <c r="A47" s="52" t="s">
        <v>38</v>
      </c>
      <c r="B47" s="103" t="str">
        <f t="shared" si="0"/>
        <v>https://help.netflix.com/en/node/24926/il</v>
      </c>
      <c r="D47" s="14" t="str">
        <f ca="1">IFERROR(__xludf.DUMMYFUNCTION("INDEX(IMPORTHTML(B47,""table"",1),2,3)"),"✓ Watch on 4 supported devices at a time")</f>
        <v>✓ Watch on 4 supported devices at a time</v>
      </c>
      <c r="E47" s="104" t="s">
        <v>799</v>
      </c>
    </row>
    <row r="48" spans="1:5" ht="13" x14ac:dyDescent="0.15">
      <c r="A48" s="52" t="s">
        <v>67</v>
      </c>
      <c r="B48" s="103" t="str">
        <f t="shared" si="0"/>
        <v>https://help.netflix.com/en/node/24926/jp</v>
      </c>
      <c r="D48" s="14" t="str">
        <f ca="1">IFERROR(__xludf.DUMMYFUNCTION("INDEX(IMPORTHTML(B48,""table"",1),2,3)"),"✓ Watch on 2 supported devices at a time")</f>
        <v>✓ Watch on 2 supported devices at a time</v>
      </c>
      <c r="E48" s="104" t="s">
        <v>800</v>
      </c>
    </row>
    <row r="49" spans="1:5" ht="13" x14ac:dyDescent="0.15">
      <c r="A49" s="52" t="s">
        <v>60</v>
      </c>
      <c r="B49" s="103" t="str">
        <f t="shared" si="0"/>
        <v>https://help.netflix.com/en/node/24926/kr</v>
      </c>
      <c r="D49" s="14" t="str">
        <f ca="1">IFERROR(__xludf.DUMMYFUNCTION("INDEX(IMPORTHTML(B49,""table"",1),2,3)"),"✓ Watch on 2 supported devices at a time")</f>
        <v>✓ Watch on 2 supported devices at a time</v>
      </c>
      <c r="E49" s="104" t="s">
        <v>801</v>
      </c>
    </row>
    <row r="50" spans="1:5" ht="13" x14ac:dyDescent="0.15">
      <c r="A50" s="52" t="s">
        <v>35</v>
      </c>
      <c r="B50" s="103" t="str">
        <f t="shared" si="0"/>
        <v>https://help.netflix.com/en/node/24926/no</v>
      </c>
      <c r="D50" s="14" t="str">
        <f ca="1">IFERROR(__xludf.DUMMYFUNCTION("INDEX(IMPORTHTML(B50,""table"",1),2,3)"),"✓ Watch on 4 supported devices at a time")</f>
        <v>✓ Watch on 4 supported devices at a time</v>
      </c>
      <c r="E50" s="104" t="s">
        <v>802</v>
      </c>
    </row>
    <row r="51" spans="1:5" ht="13" x14ac:dyDescent="0.15">
      <c r="A51" s="52" t="s">
        <v>31</v>
      </c>
      <c r="B51" s="103" t="str">
        <f t="shared" si="0"/>
        <v>https://help.netflix.com/en/node/24926/fr</v>
      </c>
      <c r="D51" s="14" t="str">
        <f ca="1">IFERROR(__xludf.DUMMYFUNCTION("INDEX(IMPORTHTML(B51,""table"",1),2,3)"),"✓ Watch on 2 supported devices at a time")</f>
        <v>✓ Watch on 2 supported devices at a time</v>
      </c>
      <c r="E51" s="104" t="s">
        <v>803</v>
      </c>
    </row>
    <row r="52" spans="1:5" ht="13" x14ac:dyDescent="0.15">
      <c r="A52" s="52" t="s">
        <v>39</v>
      </c>
      <c r="B52" s="103" t="str">
        <f t="shared" si="0"/>
        <v>https://help.netflix.com/en/node/24926/nl</v>
      </c>
      <c r="D52" s="14" t="str">
        <f ca="1">IFERROR(__xludf.DUMMYFUNCTION("INDEX(IMPORTHTML(B52,""table"",1),2,3)"),"✓ Watch on 4 supported devices at a time")</f>
        <v>✓ Watch on 4 supported devices at a time</v>
      </c>
      <c r="E52" s="104" t="s">
        <v>785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FF"/>
    <outlinePr summaryBelow="0" summaryRight="0"/>
  </sheetPr>
  <dimension ref="A1:N11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12.6640625" defaultRowHeight="15.75" customHeight="1" x14ac:dyDescent="0.15"/>
  <sheetData>
    <row r="1" spans="1:14" ht="15.75" customHeight="1" x14ac:dyDescent="0.15">
      <c r="A1" s="67" t="s">
        <v>501</v>
      </c>
      <c r="B1" s="67" t="s">
        <v>502</v>
      </c>
      <c r="C1" s="67" t="s">
        <v>510</v>
      </c>
      <c r="D1" s="67" t="s">
        <v>804</v>
      </c>
      <c r="E1" s="67" t="s">
        <v>507</v>
      </c>
      <c r="F1" s="109"/>
      <c r="G1" s="110" t="s">
        <v>501</v>
      </c>
      <c r="H1" s="110" t="s">
        <v>502</v>
      </c>
      <c r="I1" s="110" t="s">
        <v>510</v>
      </c>
      <c r="J1" s="110" t="s">
        <v>509</v>
      </c>
      <c r="K1" s="110" t="s">
        <v>510</v>
      </c>
      <c r="L1" s="110" t="s">
        <v>86</v>
      </c>
      <c r="M1" s="110" t="s">
        <v>510</v>
      </c>
      <c r="N1" s="110" t="s">
        <v>85</v>
      </c>
    </row>
    <row r="2" spans="1:14" ht="15.75" customHeight="1" x14ac:dyDescent="0.15">
      <c r="A2" s="86" t="s">
        <v>520</v>
      </c>
      <c r="B2" s="111" t="s">
        <v>521</v>
      </c>
      <c r="C2" s="112"/>
      <c r="D2" s="89"/>
      <c r="E2" s="89"/>
      <c r="F2" s="77"/>
      <c r="G2" s="86" t="s">
        <v>520</v>
      </c>
      <c r="H2" s="111" t="s">
        <v>521</v>
      </c>
      <c r="I2" s="113" t="str">
        <f ca="1">IFERROR(__xludf.DUMMYFUNCTION("IF(D2=E2,C2,GOOGLEFINANCE(CONCATENATE(D2,E2))*C2)"),"")</f>
        <v/>
      </c>
      <c r="J2" s="89"/>
      <c r="K2" s="114"/>
      <c r="L2" s="115"/>
      <c r="M2" s="114"/>
      <c r="N2" s="115"/>
    </row>
    <row r="3" spans="1:14" ht="15.75" customHeight="1" x14ac:dyDescent="0.15">
      <c r="A3" s="73" t="s">
        <v>52</v>
      </c>
      <c r="B3" s="74" t="s">
        <v>88</v>
      </c>
      <c r="C3" s="116">
        <v>7.99</v>
      </c>
      <c r="D3" s="96" t="s">
        <v>85</v>
      </c>
      <c r="E3" s="76" t="s">
        <v>89</v>
      </c>
      <c r="F3" s="77"/>
      <c r="G3" s="73" t="s">
        <v>52</v>
      </c>
      <c r="H3" s="74" t="s">
        <v>88</v>
      </c>
      <c r="I3" s="117">
        <f ca="1">IFERROR(__xludf.DUMMYFUNCTION("IF(D3=E3,C3,GOOGLEFINANCE(CONCATENATE(D3,E3))*C3)"),935.679929059)</f>
        <v>935.67992905899996</v>
      </c>
      <c r="J3" s="85" t="s">
        <v>89</v>
      </c>
      <c r="K3" s="118">
        <f ca="1">IFERROR(__xludf.DUMMYFUNCTION("VALUE(IF(D3=""USD"",C3,IF(D3=""EUR"",C3/GOOGLEFINANCE(CONCATENATE(L3,N3)),IF(D3=E3,C3/GOOGLEFINANCE(CONCATENATE(L3,J3))))))"),7.861271676)</f>
        <v>7.8612716760000003</v>
      </c>
      <c r="L3" s="119" t="s">
        <v>86</v>
      </c>
      <c r="M3" s="118">
        <f ca="1">IFERROR(__xludf.DUMMYFUNCTION("VALUE(IF(D3=""EUR"",C3,IF(D3=""USD"",GOOGLEFINANCE(CONCATENATE(L3,N3))*C3,IF(D3=E3,C3/GOOGLEFINANCE(CONCATENATE(N3,J3))))))"),7.99)</f>
        <v>7.99</v>
      </c>
      <c r="N3" s="119" t="s">
        <v>85</v>
      </c>
    </row>
    <row r="4" spans="1:14" ht="15.75" customHeight="1" x14ac:dyDescent="0.15">
      <c r="A4" s="73" t="s">
        <v>588</v>
      </c>
      <c r="B4" s="74" t="s">
        <v>589</v>
      </c>
      <c r="C4" s="116">
        <v>399.99</v>
      </c>
      <c r="D4" s="96" t="s">
        <v>280</v>
      </c>
      <c r="E4" s="76" t="s">
        <v>280</v>
      </c>
      <c r="F4" s="77"/>
      <c r="G4" s="73" t="s">
        <v>588</v>
      </c>
      <c r="H4" s="74" t="s">
        <v>589</v>
      </c>
      <c r="I4" s="117">
        <f ca="1">IFERROR(__xludf.DUMMYFUNCTION("IF(D4=E4,C4,GOOGLEFINANCE(CONCATENATE(D4,E4))*C4)"),399.99)</f>
        <v>399.99</v>
      </c>
      <c r="J4" s="79" t="s">
        <v>280</v>
      </c>
      <c r="K4" s="118">
        <f ca="1">IFERROR(__xludf.DUMMYFUNCTION("VALUE(IF(D4=""USD"",C4,IF(D4=""EUR"",C4/GOOGLEFINANCE(CONCATENATE(L4,N4)),IF(D4=E4,C4/GOOGLEFINANCE(CONCATENATE(L4,J4))))))"),2.841342568)</f>
        <v>2.841342568</v>
      </c>
      <c r="L4" s="119" t="s">
        <v>86</v>
      </c>
      <c r="M4" s="118">
        <f ca="1">IFERROR(__xludf.DUMMYFUNCTION("VALUE(IF(D4=""EUR"",C4,IF(D4=""USD"",GOOGLEFINANCE(CONCATENATE(L4,N4))*C4,IF(D4=E4,C4/GOOGLEFINANCE(CONCATENATE(N4,J4))))))"),2.887719341)</f>
        <v>2.8877193409999999</v>
      </c>
      <c r="N4" s="119" t="s">
        <v>85</v>
      </c>
    </row>
    <row r="5" spans="1:14" ht="15.75" customHeight="1" x14ac:dyDescent="0.15">
      <c r="A5" s="73" t="s">
        <v>511</v>
      </c>
      <c r="B5" s="74" t="s">
        <v>512</v>
      </c>
      <c r="C5" s="116">
        <v>8.99</v>
      </c>
      <c r="D5" s="96" t="s">
        <v>85</v>
      </c>
      <c r="E5" s="76" t="s">
        <v>85</v>
      </c>
      <c r="F5" s="77"/>
      <c r="G5" s="73" t="s">
        <v>511</v>
      </c>
      <c r="H5" s="74" t="s">
        <v>512</v>
      </c>
      <c r="I5" s="117">
        <f ca="1">IFERROR(__xludf.DUMMYFUNCTION("IF(D5=E5,C5,GOOGLEFINANCE(CONCATENATE(D5,E5))*C5)"),8.99)</f>
        <v>8.99</v>
      </c>
      <c r="J5" s="79" t="s">
        <v>85</v>
      </c>
      <c r="K5" s="118">
        <f ca="1">IFERROR(__xludf.DUMMYFUNCTION("VALUE(IF(D5=""USD"",C5,IF(D5=""EUR"",C5/GOOGLEFINANCE(CONCATENATE(L5,N5)),IF(D5=E5,C5/GOOGLEFINANCE(CONCATENATE(L5,J5))))))"),8.845160497)</f>
        <v>8.8451604970000002</v>
      </c>
      <c r="L5" s="119" t="s">
        <v>86</v>
      </c>
      <c r="M5" s="118">
        <f ca="1">IFERROR(__xludf.DUMMYFUNCTION("VALUE(IF(D5=""EUR"",C5,IF(D5=""USD"",GOOGLEFINANCE(CONCATENATE(L5,N5))*C5,IF(D5=E5,C5/GOOGLEFINANCE(CONCATENATE(N5,J5))))))"),8.99)</f>
        <v>8.99</v>
      </c>
      <c r="N5" s="119" t="s">
        <v>85</v>
      </c>
    </row>
    <row r="6" spans="1:14" ht="15.75" customHeight="1" x14ac:dyDescent="0.15">
      <c r="A6" s="73" t="s">
        <v>83</v>
      </c>
      <c r="B6" s="74" t="s">
        <v>90</v>
      </c>
      <c r="C6" s="116">
        <v>385</v>
      </c>
      <c r="D6" s="96" t="s">
        <v>91</v>
      </c>
      <c r="E6" s="76" t="s">
        <v>91</v>
      </c>
      <c r="F6" s="77"/>
      <c r="G6" s="73" t="s">
        <v>83</v>
      </c>
      <c r="H6" s="74" t="s">
        <v>90</v>
      </c>
      <c r="I6" s="117">
        <f ca="1">IFERROR(__xludf.DUMMYFUNCTION("IF(D6=E6,C6,GOOGLEFINANCE(CONCATENATE(D6,E6))*C6)"),385)</f>
        <v>385</v>
      </c>
      <c r="J6" s="79" t="s">
        <v>91</v>
      </c>
      <c r="K6" s="118">
        <f ca="1">IFERROR(__xludf.DUMMYFUNCTION("VALUE(IF(D6=""USD"",C6,IF(D6=""EUR"",C6/GOOGLEFINANCE(CONCATENATE(L6,N6)),IF(D6=E6,C6/GOOGLEFINANCE(CONCATENATE(L6,J6))))))"),2.503153323)</f>
        <v>2.5031533229999998</v>
      </c>
      <c r="L6" s="119" t="s">
        <v>86</v>
      </c>
      <c r="M6" s="118">
        <f ca="1">IFERROR(__xludf.DUMMYFUNCTION("VALUE(IF(D6=""EUR"",C6,IF(D6=""USD"",GOOGLEFINANCE(CONCATENATE(L6,N6))*C6,IF(D6=E6,C6/GOOGLEFINANCE(CONCATENATE(N6,J6))))))"),2.543871879)</f>
        <v>2.5438718790000001</v>
      </c>
      <c r="N6" s="119" t="s">
        <v>85</v>
      </c>
    </row>
    <row r="7" spans="1:14" ht="15.75" customHeight="1" x14ac:dyDescent="0.15">
      <c r="A7" s="86" t="s">
        <v>528</v>
      </c>
      <c r="B7" s="87" t="s">
        <v>216</v>
      </c>
      <c r="C7" s="120"/>
      <c r="D7" s="89"/>
      <c r="E7" s="89"/>
      <c r="F7" s="77"/>
      <c r="G7" s="86" t="s">
        <v>528</v>
      </c>
      <c r="H7" s="87" t="s">
        <v>216</v>
      </c>
      <c r="I7" s="113" t="str">
        <f ca="1">IFERROR(__xludf.DUMMYFUNCTION("IF(D7=E7,C7,GOOGLEFINANCE(CONCATENATE(D7,E7))*C7)"),"")</f>
        <v/>
      </c>
      <c r="J7" s="89"/>
      <c r="K7" s="114"/>
      <c r="L7" s="115"/>
      <c r="M7" s="114"/>
      <c r="N7" s="115"/>
    </row>
    <row r="8" spans="1:14" ht="15.75" customHeight="1" x14ac:dyDescent="0.15">
      <c r="A8" s="73" t="s">
        <v>57</v>
      </c>
      <c r="B8" s="74" t="s">
        <v>92</v>
      </c>
      <c r="C8" s="116">
        <v>11.99</v>
      </c>
      <c r="D8" s="96" t="s">
        <v>93</v>
      </c>
      <c r="E8" s="76" t="s">
        <v>93</v>
      </c>
      <c r="F8" s="77"/>
      <c r="G8" s="73" t="s">
        <v>57</v>
      </c>
      <c r="H8" s="74" t="s">
        <v>92</v>
      </c>
      <c r="I8" s="117">
        <f ca="1">IFERROR(__xludf.DUMMYFUNCTION("IF(D8=E8,C8,GOOGLEFINANCE(CONCATENATE(D8,E8))*C8)"),11.99)</f>
        <v>11.99</v>
      </c>
      <c r="J8" s="79" t="s">
        <v>93</v>
      </c>
      <c r="K8" s="118">
        <f ca="1">IFERROR(__xludf.DUMMYFUNCTION("VALUE(IF(D8=""USD"",C8,IF(D8=""EUR"",C8/GOOGLEFINANCE(CONCATENATE(L8,N8)),IF(D8=E8,C8/GOOGLEFINANCE(CONCATENATE(L8,J8))))))"),7.569587808)</f>
        <v>7.5695878079999996</v>
      </c>
      <c r="L8" s="119" t="s">
        <v>86</v>
      </c>
      <c r="M8" s="118">
        <f ca="1">IFERROR(__xludf.DUMMYFUNCTION("VALUE(IF(D8=""EUR"",C8,IF(D8=""USD"",GOOGLEFINANCE(CONCATENATE(L8,N8))*C8,IF(D8=E8,C8/GOOGLEFINANCE(CONCATENATE(N8,J8))))))"),7.690802788)</f>
        <v>7.6908027880000001</v>
      </c>
      <c r="N8" s="119" t="s">
        <v>85</v>
      </c>
    </row>
    <row r="9" spans="1:14" ht="15.75" customHeight="1" x14ac:dyDescent="0.15">
      <c r="A9" s="73" t="s">
        <v>28</v>
      </c>
      <c r="B9" s="74" t="s">
        <v>94</v>
      </c>
      <c r="C9" s="116">
        <v>8.99</v>
      </c>
      <c r="D9" s="96" t="s">
        <v>85</v>
      </c>
      <c r="E9" s="76" t="s">
        <v>85</v>
      </c>
      <c r="F9" s="77"/>
      <c r="G9" s="73" t="s">
        <v>28</v>
      </c>
      <c r="H9" s="74" t="s">
        <v>94</v>
      </c>
      <c r="I9" s="117">
        <f ca="1">IFERROR(__xludf.DUMMYFUNCTION("IF(D9=E9,C9,GOOGLEFINANCE(CONCATENATE(D9,E9))*C9)"),8.99)</f>
        <v>8.99</v>
      </c>
      <c r="J9" s="79" t="s">
        <v>85</v>
      </c>
      <c r="K9" s="118">
        <f ca="1">IFERROR(__xludf.DUMMYFUNCTION("VALUE(IF(D9=""USD"",C9,IF(D9=""EUR"",C9/GOOGLEFINANCE(CONCATENATE(L9,N9)),IF(D9=E9,C9/GOOGLEFINANCE(CONCATENATE(L9,J9))))))"),8.845160497)</f>
        <v>8.8451604970000002</v>
      </c>
      <c r="L9" s="119" t="s">
        <v>86</v>
      </c>
      <c r="M9" s="118">
        <f ca="1">IFERROR(__xludf.DUMMYFUNCTION("VALUE(IF(D9=""EUR"",C9,IF(D9=""USD"",GOOGLEFINANCE(CONCATENATE(L9,N9))*C9,IF(D9=E9,C9/GOOGLEFINANCE(CONCATENATE(N9,J9))))))"),8.99)</f>
        <v>8.99</v>
      </c>
      <c r="N9" s="119" t="s">
        <v>85</v>
      </c>
    </row>
    <row r="10" spans="1:14" ht="15.75" customHeight="1" x14ac:dyDescent="0.15">
      <c r="A10" s="86" t="s">
        <v>535</v>
      </c>
      <c r="B10" s="87" t="s">
        <v>536</v>
      </c>
      <c r="C10" s="120"/>
      <c r="D10" s="89"/>
      <c r="E10" s="89"/>
      <c r="F10" s="77"/>
      <c r="G10" s="86" t="s">
        <v>535</v>
      </c>
      <c r="H10" s="87" t="s">
        <v>536</v>
      </c>
      <c r="I10" s="113" t="str">
        <f ca="1">IFERROR(__xludf.DUMMYFUNCTION("IF(D10=E10,C10,GOOGLEFINANCE(CONCATENATE(D10,E10))*C10)"),"")</f>
        <v/>
      </c>
      <c r="J10" s="89"/>
      <c r="K10" s="114"/>
      <c r="L10" s="115"/>
      <c r="M10" s="114"/>
      <c r="N10" s="115"/>
    </row>
    <row r="11" spans="1:14" ht="15.75" customHeight="1" x14ac:dyDescent="0.15">
      <c r="A11" s="86" t="s">
        <v>547</v>
      </c>
      <c r="B11" s="87" t="s">
        <v>548</v>
      </c>
      <c r="C11" s="120"/>
      <c r="D11" s="89"/>
      <c r="E11" s="89"/>
      <c r="F11" s="77"/>
      <c r="G11" s="86" t="s">
        <v>547</v>
      </c>
      <c r="H11" s="87" t="s">
        <v>548</v>
      </c>
      <c r="I11" s="113" t="str">
        <f ca="1">IFERROR(__xludf.DUMMYFUNCTION("IF(D11=E11,C11,GOOGLEFINANCE(CONCATENATE(D11,E11))*C11)"),"")</f>
        <v/>
      </c>
      <c r="J11" s="89"/>
      <c r="K11" s="114"/>
      <c r="L11" s="115"/>
      <c r="M11" s="114"/>
      <c r="N11" s="115"/>
    </row>
    <row r="12" spans="1:14" ht="15.75" customHeight="1" x14ac:dyDescent="0.15">
      <c r="A12" s="73" t="s">
        <v>537</v>
      </c>
      <c r="B12" s="74" t="s">
        <v>538</v>
      </c>
      <c r="C12" s="116">
        <v>8.99</v>
      </c>
      <c r="D12" s="96" t="s">
        <v>85</v>
      </c>
      <c r="E12" s="76" t="s">
        <v>85</v>
      </c>
      <c r="F12" s="77"/>
      <c r="G12" s="73" t="s">
        <v>537</v>
      </c>
      <c r="H12" s="74" t="s">
        <v>538</v>
      </c>
      <c r="I12" s="117">
        <f ca="1">IFERROR(__xludf.DUMMYFUNCTION("IF(D12=E12,C12,GOOGLEFINANCE(CONCATENATE(D12,E12))*C12)"),8.99)</f>
        <v>8.99</v>
      </c>
      <c r="J12" s="79" t="s">
        <v>85</v>
      </c>
      <c r="K12" s="118">
        <f ca="1">IFERROR(__xludf.DUMMYFUNCTION("VALUE(IF(D12=""USD"",C12,IF(D12=""EUR"",C12/GOOGLEFINANCE(CONCATENATE(L12,N12)),IF(D12=E12,C12/GOOGLEFINANCE(CONCATENATE(L12,J12))))))"),8.845160497)</f>
        <v>8.8451604970000002</v>
      </c>
      <c r="L12" s="119" t="s">
        <v>86</v>
      </c>
      <c r="M12" s="118">
        <f ca="1">IFERROR(__xludf.DUMMYFUNCTION("VALUE(IF(D12=""EUR"",C12,IF(D12=""USD"",GOOGLEFINANCE(CONCATENATE(L12,N12))*C12,IF(D12=E12,C12/GOOGLEFINANCE(CONCATENATE(N12,J12))))))"),8.99)</f>
        <v>8.99</v>
      </c>
      <c r="N12" s="119" t="s">
        <v>85</v>
      </c>
    </row>
    <row r="13" spans="1:14" ht="15.75" customHeight="1" x14ac:dyDescent="0.15">
      <c r="A13" s="73" t="s">
        <v>541</v>
      </c>
      <c r="B13" s="74" t="s">
        <v>542</v>
      </c>
      <c r="C13" s="116">
        <v>5.99</v>
      </c>
      <c r="D13" s="96" t="s">
        <v>86</v>
      </c>
      <c r="E13" s="76" t="s">
        <v>236</v>
      </c>
      <c r="F13" s="77"/>
      <c r="G13" s="73" t="s">
        <v>541</v>
      </c>
      <c r="H13" s="74" t="s">
        <v>542</v>
      </c>
      <c r="I13" s="117">
        <f ca="1">IFERROR(__xludf.DUMMYFUNCTION("IF(D13=E13,C13,GOOGLEFINANCE(CONCATENATE(D13,E13))*C13)"),40.9882581899999)</f>
        <v>40.988258189999897</v>
      </c>
      <c r="J13" s="85" t="s">
        <v>236</v>
      </c>
      <c r="K13" s="118">
        <f ca="1">IFERROR(__xludf.DUMMYFUNCTION("VALUE(IF(D13=""USD"",C13,IF(D13=""EUR"",C13/GOOGLEFINANCE(CONCATENATE(L13,N13)),IF(D13=E13,C13/GOOGLEFINANCE(CONCATENATE(L13,J13))))))"),5.99)</f>
        <v>5.99</v>
      </c>
      <c r="L13" s="119" t="s">
        <v>86</v>
      </c>
      <c r="M13" s="118">
        <f ca="1">IFERROR(__xludf.DUMMYFUNCTION("VALUE(IF(D13=""EUR"",C13,IF(D13=""USD"",GOOGLEFINANCE(CONCATENATE(L13,N13))*C13,IF(D13=E13,C13/GOOGLEFINANCE(CONCATENATE(N13,J13))))))"),6.08808625)</f>
        <v>6.0880862499999999</v>
      </c>
      <c r="N13" s="119" t="s">
        <v>85</v>
      </c>
    </row>
    <row r="14" spans="1:14" ht="15.75" customHeight="1" x14ac:dyDescent="0.15">
      <c r="A14" s="73" t="s">
        <v>53</v>
      </c>
      <c r="B14" s="74" t="s">
        <v>95</v>
      </c>
      <c r="C14" s="116">
        <v>7.99</v>
      </c>
      <c r="D14" s="96" t="s">
        <v>85</v>
      </c>
      <c r="E14" s="76" t="s">
        <v>96</v>
      </c>
      <c r="F14" s="77"/>
      <c r="G14" s="73" t="s">
        <v>53</v>
      </c>
      <c r="H14" s="74" t="s">
        <v>95</v>
      </c>
      <c r="I14" s="117">
        <f ca="1">IFERROR(__xludf.DUMMYFUNCTION("IF(D14=E14,C14,GOOGLEFINANCE(CONCATENATE(D14,E14))*C14)"),15.61668605482)</f>
        <v>15.616686054820001</v>
      </c>
      <c r="J14" s="85" t="s">
        <v>96</v>
      </c>
      <c r="K14" s="118">
        <f ca="1">IFERROR(__xludf.DUMMYFUNCTION("VALUE(IF(D14=""USD"",C14,IF(D14=""EUR"",C14/GOOGLEFINANCE(CONCATENATE(L14,N14)),IF(D14=E14,C14/GOOGLEFINANCE(CONCATENATE(L14,J14))))))"),7.861271676)</f>
        <v>7.8612716760000003</v>
      </c>
      <c r="L14" s="119" t="s">
        <v>86</v>
      </c>
      <c r="M14" s="118">
        <f ca="1">IFERROR(__xludf.DUMMYFUNCTION("VALUE(IF(D14=""EUR"",C14,IF(D14=""USD"",GOOGLEFINANCE(CONCATENATE(L14,N14))*C14,IF(D14=E14,C14/GOOGLEFINANCE(CONCATENATE(N14,J14))))))"),7.99)</f>
        <v>7.99</v>
      </c>
      <c r="N14" s="119" t="s">
        <v>85</v>
      </c>
    </row>
    <row r="15" spans="1:14" ht="15.75" customHeight="1" x14ac:dyDescent="0.15">
      <c r="A15" s="73" t="s">
        <v>77</v>
      </c>
      <c r="B15" s="74" t="s">
        <v>97</v>
      </c>
      <c r="C15" s="116">
        <v>27.9</v>
      </c>
      <c r="D15" s="96" t="s">
        <v>98</v>
      </c>
      <c r="E15" s="76" t="s">
        <v>98</v>
      </c>
      <c r="F15" s="77"/>
      <c r="G15" s="73" t="s">
        <v>77</v>
      </c>
      <c r="H15" s="74" t="s">
        <v>97</v>
      </c>
      <c r="I15" s="117">
        <f ca="1">IFERROR(__xludf.DUMMYFUNCTION("IF(D15=E15,C15,GOOGLEFINANCE(CONCATENATE(D15,E15))*C15)"),27.9)</f>
        <v>27.9</v>
      </c>
      <c r="J15" s="79" t="s">
        <v>98</v>
      </c>
      <c r="K15" s="118">
        <f ca="1">IFERROR(__xludf.DUMMYFUNCTION("VALUE(IF(D15=""USD"",C15,IF(D15=""EUR"",C15/GOOGLEFINANCE(CONCATENATE(L15,N15)),IF(D15=E15,C15/GOOGLEFINANCE(CONCATENATE(L15,J15))))))"),5.401533338)</f>
        <v>5.4015333380000001</v>
      </c>
      <c r="L15" s="119" t="s">
        <v>86</v>
      </c>
      <c r="M15" s="118">
        <f ca="1">IFERROR(__xludf.DUMMYFUNCTION("VALUE(IF(D15=""EUR"",C15,IF(D15=""USD"",GOOGLEFINANCE(CONCATENATE(L15,N15))*C15,IF(D15=E15,C15/GOOGLEFINANCE(CONCATENATE(N15,J15))))))"),5.489697887)</f>
        <v>5.4896978870000002</v>
      </c>
      <c r="N15" s="119" t="s">
        <v>85</v>
      </c>
    </row>
    <row r="16" spans="1:14" ht="15.75" customHeight="1" x14ac:dyDescent="0.15">
      <c r="A16" s="73" t="s">
        <v>54</v>
      </c>
      <c r="B16" s="74" t="s">
        <v>99</v>
      </c>
      <c r="C16" s="116">
        <v>7.99</v>
      </c>
      <c r="D16" s="96" t="s">
        <v>85</v>
      </c>
      <c r="E16" s="76" t="s">
        <v>100</v>
      </c>
      <c r="F16" s="77"/>
      <c r="G16" s="73" t="s">
        <v>54</v>
      </c>
      <c r="H16" s="74" t="s">
        <v>99</v>
      </c>
      <c r="I16" s="117">
        <f ca="1">IFERROR(__xludf.DUMMYFUNCTION("IF(D16=E16,C16,GOOGLEFINANCE(CONCATENATE(D16,E16))*C16)"),15.6158920246)</f>
        <v>15.615892024600001</v>
      </c>
      <c r="J16" s="85" t="s">
        <v>100</v>
      </c>
      <c r="K16" s="118">
        <f ca="1">IFERROR(__xludf.DUMMYFUNCTION("VALUE(IF(D16=""USD"",C16,IF(D16=""EUR"",C16/GOOGLEFINANCE(CONCATENATE(L16,N16)),IF(D16=E16,C16/GOOGLEFINANCE(CONCATENATE(L16,J16))))))"),7.861271676)</f>
        <v>7.8612716760000003</v>
      </c>
      <c r="L16" s="119" t="s">
        <v>86</v>
      </c>
      <c r="M16" s="118">
        <f ca="1">IFERROR(__xludf.DUMMYFUNCTION("VALUE(IF(D16=""EUR"",C16,IF(D16=""USD"",GOOGLEFINANCE(CONCATENATE(L16,N16))*C16,IF(D16=E16,C16/GOOGLEFINANCE(CONCATENATE(N16,J16))))))"),7.99)</f>
        <v>7.99</v>
      </c>
      <c r="N16" s="119" t="s">
        <v>85</v>
      </c>
    </row>
    <row r="17" spans="1:14" ht="15.75" customHeight="1" x14ac:dyDescent="0.15">
      <c r="A17" s="86" t="s">
        <v>642</v>
      </c>
      <c r="B17" s="87" t="s">
        <v>643</v>
      </c>
      <c r="C17" s="120"/>
      <c r="D17" s="89"/>
      <c r="E17" s="89"/>
      <c r="F17" s="77"/>
      <c r="G17" s="86" t="s">
        <v>642</v>
      </c>
      <c r="H17" s="87" t="s">
        <v>643</v>
      </c>
      <c r="I17" s="113" t="str">
        <f ca="1">IFERROR(__xludf.DUMMYFUNCTION("IF(D17=E17,C17,GOOGLEFINANCE(CONCATENATE(D17,E17))*C17)"),"")</f>
        <v/>
      </c>
      <c r="J17" s="89"/>
      <c r="K17" s="114"/>
      <c r="L17" s="115"/>
      <c r="M17" s="114"/>
      <c r="N17" s="115"/>
    </row>
    <row r="18" spans="1:14" ht="15.75" customHeight="1" x14ac:dyDescent="0.15">
      <c r="A18" s="86" t="s">
        <v>560</v>
      </c>
      <c r="B18" s="87" t="s">
        <v>561</v>
      </c>
      <c r="C18" s="120"/>
      <c r="D18" s="89"/>
      <c r="E18" s="89"/>
      <c r="F18" s="77"/>
      <c r="G18" s="86" t="s">
        <v>560</v>
      </c>
      <c r="H18" s="87" t="s">
        <v>561</v>
      </c>
      <c r="I18" s="113" t="str">
        <f ca="1">IFERROR(__xludf.DUMMYFUNCTION("IF(D18=E18,C18,GOOGLEFINANCE(CONCATENATE(D18,E18))*C18)"),"")</f>
        <v/>
      </c>
      <c r="J18" s="89"/>
      <c r="K18" s="114"/>
      <c r="L18" s="115"/>
      <c r="M18" s="114"/>
      <c r="N18" s="115"/>
    </row>
    <row r="19" spans="1:14" ht="15.75" customHeight="1" x14ac:dyDescent="0.15">
      <c r="A19" s="73" t="s">
        <v>37</v>
      </c>
      <c r="B19" s="74" t="s">
        <v>101</v>
      </c>
      <c r="C19" s="116">
        <v>11.99</v>
      </c>
      <c r="D19" s="96" t="s">
        <v>102</v>
      </c>
      <c r="E19" s="76" t="s">
        <v>102</v>
      </c>
      <c r="F19" s="77"/>
      <c r="G19" s="73" t="s">
        <v>37</v>
      </c>
      <c r="H19" s="74" t="s">
        <v>101</v>
      </c>
      <c r="I19" s="117">
        <f ca="1">IFERROR(__xludf.DUMMYFUNCTION("IF(D19=E19,C19,GOOGLEFINANCE(CONCATENATE(D19,E19))*C19)"),11.99)</f>
        <v>11.99</v>
      </c>
      <c r="J19" s="79" t="s">
        <v>102</v>
      </c>
      <c r="K19" s="118">
        <f ca="1">IFERROR(__xludf.DUMMYFUNCTION("VALUE(IF(D19=""USD"",C19,IF(D19=""EUR"",C19/GOOGLEFINANCE(CONCATENATE(L19,N19)),IF(D19=E19,C19/GOOGLEFINANCE(CONCATENATE(L19,J19))))))"),8.74754682)</f>
        <v>8.7475468200000002</v>
      </c>
      <c r="L19" s="119" t="s">
        <v>86</v>
      </c>
      <c r="M19" s="118">
        <f ca="1">IFERROR(__xludf.DUMMYFUNCTION("VALUE(IF(D19=""EUR"",C19,IF(D19=""USD"",GOOGLEFINANCE(CONCATENATE(L19,N19))*C19,IF(D19=E19,C19/GOOGLEFINANCE(CONCATENATE(N19,J19))))))"),8.88911954)</f>
        <v>8.8891195399999994</v>
      </c>
      <c r="N19" s="119" t="s">
        <v>85</v>
      </c>
    </row>
    <row r="20" spans="1:14" ht="15.75" customHeight="1" x14ac:dyDescent="0.15">
      <c r="A20" s="73" t="s">
        <v>68</v>
      </c>
      <c r="B20" s="74" t="s">
        <v>103</v>
      </c>
      <c r="C20" s="116">
        <v>6500</v>
      </c>
      <c r="D20" s="96" t="s">
        <v>104</v>
      </c>
      <c r="E20" s="76" t="s">
        <v>104</v>
      </c>
      <c r="F20" s="77"/>
      <c r="G20" s="73" t="s">
        <v>68</v>
      </c>
      <c r="H20" s="74" t="s">
        <v>103</v>
      </c>
      <c r="I20" s="117">
        <f ca="1">IFERROR(__xludf.DUMMYFUNCTION("IF(D20=E20,C20,GOOGLEFINANCE(CONCATENATE(D20,E20))*C20)"),6500)</f>
        <v>6500</v>
      </c>
      <c r="J20" s="79" t="s">
        <v>104</v>
      </c>
      <c r="K20" s="118">
        <f ca="1">IFERROR(__xludf.DUMMYFUNCTION("VALUE(IF(D20=""USD"",C20,IF(D20=""EUR"",C20/GOOGLEFINANCE(CONCATENATE(L20,N20)),IF(D20=E20,C20/GOOGLEFINANCE(CONCATENATE(L20,J20))))))"),6.682086867)</f>
        <v>6.6820868669999998</v>
      </c>
      <c r="L20" s="119" t="s">
        <v>86</v>
      </c>
      <c r="M20" s="118">
        <f ca="1">IFERROR(__xludf.DUMMYFUNCTION("VALUE(IF(D20=""EUR"",C20,IF(D20=""USD"",GOOGLEFINANCE(CONCATENATE(L20,N20))*C20,IF(D20=E20,C20/GOOGLEFINANCE(CONCATENATE(N20,J20))))))"),6.791152781)</f>
        <v>6.7911527810000001</v>
      </c>
      <c r="N20" s="119" t="s">
        <v>85</v>
      </c>
    </row>
    <row r="21" spans="1:14" ht="15.75" customHeight="1" x14ac:dyDescent="0.15">
      <c r="A21" s="86" t="s">
        <v>562</v>
      </c>
      <c r="B21" s="87" t="s">
        <v>563</v>
      </c>
      <c r="C21" s="120"/>
      <c r="D21" s="89"/>
      <c r="E21" s="89"/>
      <c r="F21" s="77"/>
      <c r="G21" s="86" t="s">
        <v>562</v>
      </c>
      <c r="H21" s="87" t="s">
        <v>563</v>
      </c>
      <c r="I21" s="113" t="str">
        <f ca="1">IFERROR(__xludf.DUMMYFUNCTION("IF(D21=E21,C21,GOOGLEFINANCE(CONCATENATE(D21,E21))*C21)"),"")</f>
        <v/>
      </c>
      <c r="J21" s="89"/>
      <c r="K21" s="114"/>
      <c r="L21" s="115"/>
      <c r="M21" s="114"/>
      <c r="N21" s="115"/>
    </row>
    <row r="22" spans="1:14" ht="15.75" customHeight="1" x14ac:dyDescent="0.15">
      <c r="A22" s="73" t="s">
        <v>80</v>
      </c>
      <c r="B22" s="74" t="s">
        <v>105</v>
      </c>
      <c r="C22" s="116">
        <v>23900</v>
      </c>
      <c r="D22" s="96" t="s">
        <v>106</v>
      </c>
      <c r="E22" s="76" t="s">
        <v>106</v>
      </c>
      <c r="F22" s="77"/>
      <c r="G22" s="73" t="s">
        <v>80</v>
      </c>
      <c r="H22" s="74" t="s">
        <v>105</v>
      </c>
      <c r="I22" s="117">
        <f ca="1">IFERROR(__xludf.DUMMYFUNCTION("IF(D22=E22,C22,GOOGLEFINANCE(CONCATENATE(D22,E22))*C22)"),23900)</f>
        <v>23900</v>
      </c>
      <c r="J22" s="79" t="s">
        <v>106</v>
      </c>
      <c r="K22" s="118">
        <f ca="1">IFERROR(__xludf.DUMMYFUNCTION("VALUE(IF(D22=""USD"",C22,IF(D22=""EUR"",C22/GOOGLEFINANCE(CONCATENATE(L22,N22)),IF(D22=E22,C22/GOOGLEFINANCE(CONCATENATE(L22,J22))))))"),4.859600252)</f>
        <v>4.8596002519999999</v>
      </c>
      <c r="L22" s="119" t="s">
        <v>86</v>
      </c>
      <c r="M22" s="118">
        <f ca="1">IFERROR(__xludf.DUMMYFUNCTION("VALUE(IF(D22=""EUR"",C22,IF(D22=""USD"",GOOGLEFINANCE(CONCATENATE(L22,N22))*C22,IF(D22=E22,C22/GOOGLEFINANCE(CONCATENATE(N22,J22))))))"),4.938919296)</f>
        <v>4.9389192959999999</v>
      </c>
      <c r="N22" s="119" t="s">
        <v>85</v>
      </c>
    </row>
    <row r="23" spans="1:14" ht="15.75" customHeight="1" x14ac:dyDescent="0.15">
      <c r="A23" s="73" t="s">
        <v>568</v>
      </c>
      <c r="B23" s="74" t="s">
        <v>569</v>
      </c>
      <c r="C23" s="116">
        <v>5.99</v>
      </c>
      <c r="D23" s="96" t="s">
        <v>86</v>
      </c>
      <c r="E23" s="76" t="s">
        <v>263</v>
      </c>
      <c r="F23" s="77"/>
      <c r="G23" s="73" t="s">
        <v>568</v>
      </c>
      <c r="H23" s="74" t="s">
        <v>569</v>
      </c>
      <c r="I23" s="117">
        <f ca="1">IFERROR(__xludf.DUMMYFUNCTION("IF(D23=E23,C23,GOOGLEFINANCE(CONCATENATE(D23,E23))*C23)"),3681.085016)</f>
        <v>3681.085016</v>
      </c>
      <c r="J23" s="85" t="s">
        <v>263</v>
      </c>
      <c r="K23" s="118">
        <f ca="1">IFERROR(__xludf.DUMMYFUNCTION("VALUE(IF(D23=""USD"",C23,IF(D23=""EUR"",C23/GOOGLEFINANCE(CONCATENATE(L23,N23)),IF(D23=E23,C23/GOOGLEFINANCE(CONCATENATE(L23,J23))))))"),5.99)</f>
        <v>5.99</v>
      </c>
      <c r="L23" s="119" t="s">
        <v>86</v>
      </c>
      <c r="M23" s="118">
        <f ca="1">IFERROR(__xludf.DUMMYFUNCTION("VALUE(IF(D23=""EUR"",C23,IF(D23=""USD"",GOOGLEFINANCE(CONCATENATE(L23,N23))*C23,IF(D23=E23,C23/GOOGLEFINANCE(CONCATENATE(N23,J23))))))"),6.08808625)</f>
        <v>6.0880862499999999</v>
      </c>
      <c r="N23" s="119" t="s">
        <v>85</v>
      </c>
    </row>
    <row r="24" spans="1:14" ht="15.75" customHeight="1" x14ac:dyDescent="0.15">
      <c r="A24" s="86" t="s">
        <v>555</v>
      </c>
      <c r="B24" s="87" t="s">
        <v>556</v>
      </c>
      <c r="C24" s="120"/>
      <c r="D24" s="89"/>
      <c r="E24" s="89"/>
      <c r="F24" s="77"/>
      <c r="G24" s="86" t="s">
        <v>555</v>
      </c>
      <c r="H24" s="87" t="s">
        <v>556</v>
      </c>
      <c r="I24" s="113" t="str">
        <f ca="1">IFERROR(__xludf.DUMMYFUNCTION("IF(D24=E24,C24,GOOGLEFINANCE(CONCATENATE(D24,E24))*C24)"),"")</f>
        <v/>
      </c>
      <c r="J24" s="89"/>
      <c r="K24" s="114"/>
      <c r="L24" s="115"/>
      <c r="M24" s="114"/>
      <c r="N24" s="115"/>
    </row>
    <row r="25" spans="1:14" ht="15.75" customHeight="1" x14ac:dyDescent="0.15">
      <c r="A25" s="73" t="s">
        <v>46</v>
      </c>
      <c r="B25" s="74" t="s">
        <v>107</v>
      </c>
      <c r="C25" s="116">
        <v>7.99</v>
      </c>
      <c r="D25" s="96" t="s">
        <v>85</v>
      </c>
      <c r="E25" s="76" t="s">
        <v>108</v>
      </c>
      <c r="F25" s="77"/>
      <c r="G25" s="73" t="s">
        <v>46</v>
      </c>
      <c r="H25" s="74" t="s">
        <v>107</v>
      </c>
      <c r="I25" s="117">
        <f ca="1">IFERROR(__xludf.DUMMYFUNCTION("IF(D25=E25,C25,GOOGLEFINANCE(CONCATENATE(D25,E25))*C25)"),60.2126117154)</f>
        <v>60.212611715400001</v>
      </c>
      <c r="J25" s="85" t="s">
        <v>108</v>
      </c>
      <c r="K25" s="118">
        <f ca="1">IFERROR(__xludf.DUMMYFUNCTION("VALUE(IF(D25=""USD"",C25,IF(D25=""EUR"",C25/GOOGLEFINANCE(CONCATENATE(L25,N25)),IF(D25=E25,C25/GOOGLEFINANCE(CONCATENATE(L25,J25))))))"),7.861271676)</f>
        <v>7.8612716760000003</v>
      </c>
      <c r="L25" s="119" t="s">
        <v>86</v>
      </c>
      <c r="M25" s="118">
        <f ca="1">IFERROR(__xludf.DUMMYFUNCTION("VALUE(IF(D25=""EUR"",C25,IF(D25=""USD"",GOOGLEFINANCE(CONCATENATE(L25,N25))*C25,IF(D25=E25,C25/GOOGLEFINANCE(CONCATENATE(N25,J25))))))"),7.99)</f>
        <v>7.99</v>
      </c>
      <c r="N25" s="119" t="s">
        <v>85</v>
      </c>
    </row>
    <row r="26" spans="1:14" ht="15.75" customHeight="1" x14ac:dyDescent="0.15">
      <c r="A26" s="86" t="s">
        <v>572</v>
      </c>
      <c r="B26" s="87" t="s">
        <v>573</v>
      </c>
      <c r="C26" s="120"/>
      <c r="D26" s="89"/>
      <c r="E26" s="89"/>
      <c r="F26" s="77"/>
      <c r="G26" s="86" t="s">
        <v>572</v>
      </c>
      <c r="H26" s="87" t="s">
        <v>573</v>
      </c>
      <c r="I26" s="113" t="str">
        <f ca="1">IFERROR(__xludf.DUMMYFUNCTION("IF(D26=E26,C26,GOOGLEFINANCE(CONCATENATE(D26,E26))*C26)"),"")</f>
        <v/>
      </c>
      <c r="J26" s="89"/>
      <c r="K26" s="114"/>
      <c r="L26" s="115"/>
      <c r="M26" s="114"/>
      <c r="N26" s="115"/>
    </row>
    <row r="27" spans="1:14" ht="15.75" customHeight="1" x14ac:dyDescent="0.15">
      <c r="A27" s="86" t="s">
        <v>574</v>
      </c>
      <c r="B27" s="87" t="s">
        <v>575</v>
      </c>
      <c r="C27" s="120"/>
      <c r="D27" s="89"/>
      <c r="E27" s="89"/>
      <c r="F27" s="77"/>
      <c r="G27" s="86" t="s">
        <v>574</v>
      </c>
      <c r="H27" s="87" t="s">
        <v>575</v>
      </c>
      <c r="I27" s="113" t="str">
        <f ca="1">IFERROR(__xludf.DUMMYFUNCTION("IF(D27=E27,C27,GOOGLEFINANCE(CONCATENATE(D27,E27))*C27)"),"")</f>
        <v/>
      </c>
      <c r="J27" s="89"/>
      <c r="K27" s="114"/>
      <c r="L27" s="115"/>
      <c r="M27" s="114"/>
      <c r="N27" s="115"/>
    </row>
    <row r="28" spans="1:14" ht="15.75" customHeight="1" x14ac:dyDescent="0.15">
      <c r="A28" s="73" t="s">
        <v>41</v>
      </c>
      <c r="B28" s="74" t="s">
        <v>109</v>
      </c>
      <c r="C28" s="116">
        <v>199</v>
      </c>
      <c r="D28" s="96" t="s">
        <v>110</v>
      </c>
      <c r="E28" s="76" t="s">
        <v>110</v>
      </c>
      <c r="F28" s="77"/>
      <c r="G28" s="73" t="s">
        <v>41</v>
      </c>
      <c r="H28" s="74" t="s">
        <v>109</v>
      </c>
      <c r="I28" s="117">
        <f ca="1">IFERROR(__xludf.DUMMYFUNCTION("IF(D28=E28,C28,GOOGLEFINANCE(CONCATENATE(D28,E28))*C28)"),199)</f>
        <v>199</v>
      </c>
      <c r="J28" s="79" t="s">
        <v>110</v>
      </c>
      <c r="K28" s="118">
        <f ca="1">IFERROR(__xludf.DUMMYFUNCTION("VALUE(IF(D28=""USD"",C28,IF(D28=""EUR"",C28/GOOGLEFINANCE(CONCATENATE(L28,N28)),IF(D28=E28,C28/GOOGLEFINANCE(CONCATENATE(L28,J28))))))"),7.996142564)</f>
        <v>7.9961425640000003</v>
      </c>
      <c r="L28" s="119" t="s">
        <v>86</v>
      </c>
      <c r="M28" s="118">
        <f ca="1">IFERROR(__xludf.DUMMYFUNCTION("VALUE(IF(D28=""EUR"",C28,IF(D28=""USD"",GOOGLEFINANCE(CONCATENATE(L28,N28))*C28,IF(D28=E28,C28/GOOGLEFINANCE(CONCATENATE(N28,J28))))))"),8.127441551)</f>
        <v>8.1274415510000004</v>
      </c>
      <c r="N28" s="119" t="s">
        <v>85</v>
      </c>
    </row>
    <row r="29" spans="1:14" ht="15.75" customHeight="1" x14ac:dyDescent="0.15">
      <c r="A29" s="73" t="s">
        <v>581</v>
      </c>
      <c r="B29" s="74" t="s">
        <v>582</v>
      </c>
      <c r="C29" s="116">
        <v>79</v>
      </c>
      <c r="D29" s="96" t="s">
        <v>274</v>
      </c>
      <c r="E29" s="76" t="s">
        <v>274</v>
      </c>
      <c r="F29" s="77"/>
      <c r="G29" s="73" t="s">
        <v>581</v>
      </c>
      <c r="H29" s="74" t="s">
        <v>582</v>
      </c>
      <c r="I29" s="117">
        <f ca="1">IFERROR(__xludf.DUMMYFUNCTION("IF(D29=E29,C29,GOOGLEFINANCE(CONCATENATE(D29,E29))*C29)"),79)</f>
        <v>79</v>
      </c>
      <c r="J29" s="79" t="s">
        <v>274</v>
      </c>
      <c r="K29" s="118">
        <f ca="1">IFERROR(__xludf.DUMMYFUNCTION("VALUE(IF(D29=""USD"",C29,IF(D29=""EUR"",C29/GOOGLEFINANCE(CONCATENATE(L29,N29)),IF(D29=E29,C29/GOOGLEFINANCE(CONCATENATE(L29,J29))))))"),10.44962487)</f>
        <v>10.449624869999999</v>
      </c>
      <c r="L29" s="119" t="s">
        <v>86</v>
      </c>
      <c r="M29" s="118">
        <f ca="1">IFERROR(__xludf.DUMMYFUNCTION("VALUE(IF(D29=""EUR"",C29,IF(D29=""USD"",GOOGLEFINANCE(CONCATENATE(L29,N29))*C29,IF(D29=E29,C29/GOOGLEFINANCE(CONCATENATE(N29,J29))))))"),10.62059926)</f>
        <v>10.620599260000001</v>
      </c>
      <c r="N29" s="119" t="s">
        <v>85</v>
      </c>
    </row>
    <row r="30" spans="1:14" ht="15.75" customHeight="1" x14ac:dyDescent="0.15">
      <c r="A30" s="73" t="s">
        <v>586</v>
      </c>
      <c r="B30" s="74" t="s">
        <v>587</v>
      </c>
      <c r="C30" s="116">
        <v>5.99</v>
      </c>
      <c r="D30" s="96" t="s">
        <v>86</v>
      </c>
      <c r="E30" s="76" t="s">
        <v>277</v>
      </c>
      <c r="F30" s="77"/>
      <c r="G30" s="73" t="s">
        <v>586</v>
      </c>
      <c r="H30" s="74" t="s">
        <v>587</v>
      </c>
      <c r="I30" s="117">
        <f ca="1">IFERROR(__xludf.DUMMYFUNCTION("IF(D30=E30,C30,GOOGLEFINANCE(CONCATENATE(D30,E30))*C30)"),319.8962495)</f>
        <v>319.89624950000001</v>
      </c>
      <c r="J30" s="85" t="s">
        <v>277</v>
      </c>
      <c r="K30" s="118">
        <f ca="1">IFERROR(__xludf.DUMMYFUNCTION("VALUE(IF(D30=""USD"",C30,IF(D30=""EUR"",C30/GOOGLEFINANCE(CONCATENATE(L30,N30)),IF(D30=E30,C30/GOOGLEFINANCE(CONCATENATE(L30,J30))))))"),5.99)</f>
        <v>5.99</v>
      </c>
      <c r="L30" s="119" t="s">
        <v>86</v>
      </c>
      <c r="M30" s="118">
        <f ca="1">IFERROR(__xludf.DUMMYFUNCTION("VALUE(IF(D30=""EUR"",C30,IF(D30=""USD"",GOOGLEFINANCE(CONCATENATE(L30,N30))*C30,IF(D30=E30,C30/GOOGLEFINANCE(CONCATENATE(N30,J30))))))"),6.08808625)</f>
        <v>6.0880862499999999</v>
      </c>
      <c r="N30" s="119" t="s">
        <v>85</v>
      </c>
    </row>
    <row r="31" spans="1:14" ht="15.75" customHeight="1" x14ac:dyDescent="0.15">
      <c r="A31" s="73" t="s">
        <v>590</v>
      </c>
      <c r="B31" s="74" t="s">
        <v>591</v>
      </c>
      <c r="C31" s="116">
        <v>5.99</v>
      </c>
      <c r="D31" s="96" t="s">
        <v>86</v>
      </c>
      <c r="E31" s="76" t="s">
        <v>86</v>
      </c>
      <c r="F31" s="77"/>
      <c r="G31" s="73" t="s">
        <v>590</v>
      </c>
      <c r="H31" s="74" t="s">
        <v>591</v>
      </c>
      <c r="I31" s="117">
        <f ca="1">IFERROR(__xludf.DUMMYFUNCTION("IF(D31=E31,C31,GOOGLEFINANCE(CONCATENATE(D31,E31))*C31)"),5.99)</f>
        <v>5.99</v>
      </c>
      <c r="J31" s="79" t="s">
        <v>86</v>
      </c>
      <c r="K31" s="118">
        <f ca="1">IFERROR(__xludf.DUMMYFUNCTION("VALUE(IF(D31=""USD"",C31,IF(D31=""EUR"",C31/GOOGLEFINANCE(CONCATENATE(L31,N31)),IF(D31=E31,C31/GOOGLEFINANCE(CONCATENATE(L31,J31))))))"),5.99)</f>
        <v>5.99</v>
      </c>
      <c r="L31" s="119" t="s">
        <v>86</v>
      </c>
      <c r="M31" s="118">
        <f ca="1">IFERROR(__xludf.DUMMYFUNCTION("VALUE(IF(D31=""EUR"",C31,IF(D31=""USD"",GOOGLEFINANCE(CONCATENATE(L31,N31))*C31,IF(D31=E31,C31/GOOGLEFINANCE(CONCATENATE(N31,J31))))))"),6.08808625)</f>
        <v>6.0880862499999999</v>
      </c>
      <c r="N31" s="119" t="s">
        <v>85</v>
      </c>
    </row>
    <row r="32" spans="1:14" ht="15.75" customHeight="1" x14ac:dyDescent="0.15">
      <c r="A32" s="73" t="s">
        <v>71</v>
      </c>
      <c r="B32" s="74" t="s">
        <v>111</v>
      </c>
      <c r="C32" s="116">
        <v>49.99</v>
      </c>
      <c r="D32" s="96" t="s">
        <v>112</v>
      </c>
      <c r="E32" s="76" t="s">
        <v>112</v>
      </c>
      <c r="F32" s="77"/>
      <c r="G32" s="73" t="s">
        <v>71</v>
      </c>
      <c r="H32" s="74" t="s">
        <v>111</v>
      </c>
      <c r="I32" s="117">
        <f ca="1">IFERROR(__xludf.DUMMYFUNCTION("IF(D32=E32,C32,GOOGLEFINANCE(CONCATENATE(D32,E32))*C32)"),49.99)</f>
        <v>49.99</v>
      </c>
      <c r="J32" s="79" t="s">
        <v>112</v>
      </c>
      <c r="K32" s="118">
        <f ca="1">IFERROR(__xludf.DUMMYFUNCTION("VALUE(IF(D32=""USD"",C32,IF(D32=""EUR"",C32/GOOGLEFINANCE(CONCATENATE(L32,N32)),IF(D32=E32,C32/GOOGLEFINANCE(CONCATENATE(L32,J32))))))"),2.540116462)</f>
        <v>2.5401164619999999</v>
      </c>
      <c r="L32" s="119" t="s">
        <v>86</v>
      </c>
      <c r="M32" s="118">
        <f ca="1">IFERROR(__xludf.DUMMYFUNCTION("VALUE(IF(D32=""EUR"",C32,IF(D32=""USD"",GOOGLEFINANCE(CONCATENATE(L32,N32))*C32,IF(D32=E32,C32/GOOGLEFINANCE(CONCATENATE(N32,J32))))))"),2.581576583)</f>
        <v>2.5815765829999999</v>
      </c>
      <c r="N32" s="119" t="s">
        <v>85</v>
      </c>
    </row>
    <row r="33" spans="1:14" ht="15.75" customHeight="1" x14ac:dyDescent="0.15">
      <c r="A33" s="73" t="s">
        <v>723</v>
      </c>
      <c r="B33" s="74" t="s">
        <v>724</v>
      </c>
      <c r="C33" s="116">
        <v>5.99</v>
      </c>
      <c r="D33" s="96" t="s">
        <v>86</v>
      </c>
      <c r="E33" s="76" t="s">
        <v>86</v>
      </c>
      <c r="F33" s="77"/>
      <c r="G33" s="73" t="s">
        <v>723</v>
      </c>
      <c r="H33" s="74" t="s">
        <v>724</v>
      </c>
      <c r="I33" s="117">
        <f ca="1">IFERROR(__xludf.DUMMYFUNCTION("IF(D33=E33,C33,GOOGLEFINANCE(CONCATENATE(D33,E33))*C33)"),5.99)</f>
        <v>5.99</v>
      </c>
      <c r="J33" s="79" t="s">
        <v>86</v>
      </c>
      <c r="K33" s="118">
        <f ca="1">IFERROR(__xludf.DUMMYFUNCTION("VALUE(IF(D33=""USD"",C33,IF(D33=""EUR"",C33/GOOGLEFINANCE(CONCATENATE(L33,N33)),IF(D33=E33,C33/GOOGLEFINANCE(CONCATENATE(L33,J33))))))"),5.99)</f>
        <v>5.99</v>
      </c>
      <c r="L33" s="119" t="s">
        <v>86</v>
      </c>
      <c r="M33" s="118">
        <f ca="1">IFERROR(__xludf.DUMMYFUNCTION("VALUE(IF(D33=""EUR"",C33,IF(D33=""USD"",GOOGLEFINANCE(CONCATENATE(L33,N33))*C33,IF(D33=E33,C33/GOOGLEFINANCE(CONCATENATE(N33,J33))))))"),6.08808625)</f>
        <v>6.0880862499999999</v>
      </c>
      <c r="N33" s="119" t="s">
        <v>85</v>
      </c>
    </row>
    <row r="34" spans="1:14" ht="15.75" customHeight="1" x14ac:dyDescent="0.15">
      <c r="A34" s="73" t="s">
        <v>42</v>
      </c>
      <c r="B34" s="74" t="s">
        <v>113</v>
      </c>
      <c r="C34" s="116">
        <v>7.99</v>
      </c>
      <c r="D34" s="96" t="s">
        <v>85</v>
      </c>
      <c r="E34" s="76" t="s">
        <v>85</v>
      </c>
      <c r="F34" s="77"/>
      <c r="G34" s="73" t="s">
        <v>42</v>
      </c>
      <c r="H34" s="74" t="s">
        <v>113</v>
      </c>
      <c r="I34" s="117">
        <f ca="1">IFERROR(__xludf.DUMMYFUNCTION("IF(D34=E34,C34,GOOGLEFINANCE(CONCATENATE(D34,E34))*C34)"),7.99)</f>
        <v>7.99</v>
      </c>
      <c r="J34" s="79" t="s">
        <v>85</v>
      </c>
      <c r="K34" s="118">
        <f ca="1">IFERROR(__xludf.DUMMYFUNCTION("VALUE(IF(D34=""USD"",C34,IF(D34=""EUR"",C34/GOOGLEFINANCE(CONCATENATE(L34,N34)),IF(D34=E34,C34/GOOGLEFINANCE(CONCATENATE(L34,J34))))))"),7.861271676)</f>
        <v>7.8612716760000003</v>
      </c>
      <c r="L34" s="119" t="s">
        <v>86</v>
      </c>
      <c r="M34" s="118">
        <f ca="1">IFERROR(__xludf.DUMMYFUNCTION("VALUE(IF(D34=""EUR"",C34,IF(D34=""USD"",GOOGLEFINANCE(CONCATENATE(L34,N34))*C34,IF(D34=E34,C34/GOOGLEFINANCE(CONCATENATE(N34,J34))))))"),7.99)</f>
        <v>7.99</v>
      </c>
      <c r="N34" s="119" t="s">
        <v>85</v>
      </c>
    </row>
    <row r="35" spans="1:14" ht="15.75" customHeight="1" x14ac:dyDescent="0.15">
      <c r="A35" s="73" t="s">
        <v>32</v>
      </c>
      <c r="B35" s="74" t="s">
        <v>114</v>
      </c>
      <c r="C35" s="116">
        <v>8.99</v>
      </c>
      <c r="D35" s="96" t="s">
        <v>85</v>
      </c>
      <c r="E35" s="76" t="s">
        <v>85</v>
      </c>
      <c r="F35" s="77"/>
      <c r="G35" s="73" t="s">
        <v>32</v>
      </c>
      <c r="H35" s="74" t="s">
        <v>114</v>
      </c>
      <c r="I35" s="117">
        <f ca="1">IFERROR(__xludf.DUMMYFUNCTION("IF(D35=E35,C35,GOOGLEFINANCE(CONCATENATE(D35,E35))*C35)"),8.99)</f>
        <v>8.99</v>
      </c>
      <c r="J35" s="79" t="s">
        <v>85</v>
      </c>
      <c r="K35" s="118">
        <f ca="1">IFERROR(__xludf.DUMMYFUNCTION("VALUE(IF(D35=""USD"",C35,IF(D35=""EUR"",C35/GOOGLEFINANCE(CONCATENATE(L35,N35)),IF(D35=E35,C35/GOOGLEFINANCE(CONCATENATE(L35,J35))))))"),8.845160497)</f>
        <v>8.8451604970000002</v>
      </c>
      <c r="L35" s="119" t="s">
        <v>86</v>
      </c>
      <c r="M35" s="118">
        <f ca="1">IFERROR(__xludf.DUMMYFUNCTION("VALUE(IF(D35=""EUR"",C35,IF(D35=""USD"",GOOGLEFINANCE(CONCATENATE(L35,N35))*C35,IF(D35=E35,C35/GOOGLEFINANCE(CONCATENATE(N35,J35))))))"),8.99)</f>
        <v>8.99</v>
      </c>
      <c r="N35" s="119" t="s">
        <v>85</v>
      </c>
    </row>
    <row r="36" spans="1:14" ht="15.75" customHeight="1" x14ac:dyDescent="0.15">
      <c r="A36" s="73" t="s">
        <v>31</v>
      </c>
      <c r="B36" s="74" t="s">
        <v>115</v>
      </c>
      <c r="C36" s="116">
        <v>8.99</v>
      </c>
      <c r="D36" s="96" t="s">
        <v>85</v>
      </c>
      <c r="E36" s="76" t="s">
        <v>85</v>
      </c>
      <c r="F36" s="77"/>
      <c r="G36" s="73" t="s">
        <v>31</v>
      </c>
      <c r="H36" s="74" t="s">
        <v>115</v>
      </c>
      <c r="I36" s="117">
        <f ca="1">IFERROR(__xludf.DUMMYFUNCTION("IF(D36=E36,C36,GOOGLEFINANCE(CONCATENATE(D36,E36))*C36)"),8.99)</f>
        <v>8.99</v>
      </c>
      <c r="J36" s="79" t="s">
        <v>85</v>
      </c>
      <c r="K36" s="118">
        <f ca="1">IFERROR(__xludf.DUMMYFUNCTION("VALUE(IF(D36=""USD"",C36,IF(D36=""EUR"",C36/GOOGLEFINANCE(CONCATENATE(L36,N36)),IF(D36=E36,C36/GOOGLEFINANCE(CONCATENATE(L36,J36))))))"),8.845160497)</f>
        <v>8.8451604970000002</v>
      </c>
      <c r="L36" s="119" t="s">
        <v>86</v>
      </c>
      <c r="M36" s="118">
        <f ca="1">IFERROR(__xludf.DUMMYFUNCTION("VALUE(IF(D36=""EUR"",C36,IF(D36=""USD"",GOOGLEFINANCE(CONCATENATE(L36,N36))*C36,IF(D36=E36,C36/GOOGLEFINANCE(CONCATENATE(N36,J36))))))"),8.99)</f>
        <v>8.99</v>
      </c>
      <c r="N36" s="119" t="s">
        <v>85</v>
      </c>
    </row>
    <row r="37" spans="1:14" ht="15.75" customHeight="1" x14ac:dyDescent="0.15">
      <c r="A37" s="86" t="s">
        <v>598</v>
      </c>
      <c r="B37" s="87" t="s">
        <v>599</v>
      </c>
      <c r="C37" s="120"/>
      <c r="D37" s="89"/>
      <c r="E37" s="89"/>
      <c r="F37" s="77"/>
      <c r="G37" s="86" t="s">
        <v>598</v>
      </c>
      <c r="H37" s="87" t="s">
        <v>599</v>
      </c>
      <c r="I37" s="113" t="str">
        <f ca="1">IFERROR(__xludf.DUMMYFUNCTION("IF(D37=E37,C37,GOOGLEFINANCE(CONCATENATE(D37,E37))*C37)"),"")</f>
        <v/>
      </c>
      <c r="J37" s="89"/>
      <c r="K37" s="114"/>
      <c r="L37" s="115"/>
      <c r="M37" s="114"/>
      <c r="N37" s="115"/>
    </row>
    <row r="38" spans="1:14" ht="15.75" customHeight="1" x14ac:dyDescent="0.15">
      <c r="A38" s="73" t="s">
        <v>29</v>
      </c>
      <c r="B38" s="74" t="s">
        <v>116</v>
      </c>
      <c r="C38" s="116">
        <v>8.99</v>
      </c>
      <c r="D38" s="96" t="s">
        <v>85</v>
      </c>
      <c r="E38" s="76" t="s">
        <v>85</v>
      </c>
      <c r="F38" s="77"/>
      <c r="G38" s="73" t="s">
        <v>29</v>
      </c>
      <c r="H38" s="74" t="s">
        <v>116</v>
      </c>
      <c r="I38" s="117">
        <f ca="1">IFERROR(__xludf.DUMMYFUNCTION("IF(D38=E38,C38,GOOGLEFINANCE(CONCATENATE(D38,E38))*C38)"),8.99)</f>
        <v>8.99</v>
      </c>
      <c r="J38" s="79" t="s">
        <v>85</v>
      </c>
      <c r="K38" s="118">
        <f ca="1">IFERROR(__xludf.DUMMYFUNCTION("VALUE(IF(D38=""USD"",C38,IF(D38=""EUR"",C38/GOOGLEFINANCE(CONCATENATE(L38,N38)),IF(D38=E38,C38/GOOGLEFINANCE(CONCATENATE(L38,J38))))))"),8.845160497)</f>
        <v>8.8451604970000002</v>
      </c>
      <c r="L38" s="119" t="s">
        <v>86</v>
      </c>
      <c r="M38" s="118">
        <f ca="1">IFERROR(__xludf.DUMMYFUNCTION("VALUE(IF(D38=""EUR"",C38,IF(D38=""USD"",GOOGLEFINANCE(CONCATENATE(L38,N38))*C38,IF(D38=E38,C38/GOOGLEFINANCE(CONCATENATE(N38,J38))))))"),8.99)</f>
        <v>8.99</v>
      </c>
      <c r="N38" s="119" t="s">
        <v>85</v>
      </c>
    </row>
    <row r="39" spans="1:14" ht="15.75" customHeight="1" x14ac:dyDescent="0.15">
      <c r="A39" s="86" t="s">
        <v>602</v>
      </c>
      <c r="B39" s="87" t="s">
        <v>296</v>
      </c>
      <c r="C39" s="120"/>
      <c r="D39" s="89"/>
      <c r="E39" s="89"/>
      <c r="F39" s="77"/>
      <c r="G39" s="86" t="s">
        <v>602</v>
      </c>
      <c r="H39" s="87" t="s">
        <v>296</v>
      </c>
      <c r="I39" s="113" t="str">
        <f ca="1">IFERROR(__xludf.DUMMYFUNCTION("IF(D39=E39,C39,GOOGLEFINANCE(CONCATENATE(D39,E39))*C39)"),"")</f>
        <v/>
      </c>
      <c r="J39" s="89"/>
      <c r="K39" s="114"/>
      <c r="L39" s="115"/>
      <c r="M39" s="114"/>
      <c r="N39" s="115"/>
    </row>
    <row r="40" spans="1:14" ht="15.75" customHeight="1" x14ac:dyDescent="0.15">
      <c r="A40" s="73" t="s">
        <v>40</v>
      </c>
      <c r="B40" s="74" t="s">
        <v>117</v>
      </c>
      <c r="C40" s="116">
        <v>8.99</v>
      </c>
      <c r="D40" s="96" t="s">
        <v>85</v>
      </c>
      <c r="E40" s="76" t="s">
        <v>85</v>
      </c>
      <c r="F40" s="77"/>
      <c r="G40" s="73" t="s">
        <v>40</v>
      </c>
      <c r="H40" s="74" t="s">
        <v>117</v>
      </c>
      <c r="I40" s="117">
        <f ca="1">IFERROR(__xludf.DUMMYFUNCTION("IF(D40=E40,C40,GOOGLEFINANCE(CONCATENATE(D40,E40))*C40)"),8.99)</f>
        <v>8.99</v>
      </c>
      <c r="J40" s="79" t="s">
        <v>85</v>
      </c>
      <c r="K40" s="118">
        <f ca="1">IFERROR(__xludf.DUMMYFUNCTION("VALUE(IF(D40=""USD"",C40,IF(D40=""EUR"",C40/GOOGLEFINANCE(CONCATENATE(L40,N40)),IF(D40=E40,C40/GOOGLEFINANCE(CONCATENATE(L40,J40))))))"),8.845160497)</f>
        <v>8.8451604970000002</v>
      </c>
      <c r="L40" s="119" t="s">
        <v>86</v>
      </c>
      <c r="M40" s="118">
        <f ca="1">IFERROR(__xludf.DUMMYFUNCTION("VALUE(IF(D40=""EUR"",C40,IF(D40=""USD"",GOOGLEFINANCE(CONCATENATE(L40,N40))*C40,IF(D40=E40,C40/GOOGLEFINANCE(CONCATENATE(N40,J40))))))"),8.99)</f>
        <v>8.99</v>
      </c>
      <c r="N40" s="119" t="s">
        <v>85</v>
      </c>
    </row>
    <row r="41" spans="1:14" ht="13" x14ac:dyDescent="0.15">
      <c r="A41" s="73" t="s">
        <v>603</v>
      </c>
      <c r="B41" s="74" t="s">
        <v>604</v>
      </c>
      <c r="C41" s="116">
        <v>5.99</v>
      </c>
      <c r="D41" s="96" t="s">
        <v>86</v>
      </c>
      <c r="E41" s="76" t="s">
        <v>302</v>
      </c>
      <c r="F41" s="77"/>
      <c r="G41" s="73" t="s">
        <v>603</v>
      </c>
      <c r="H41" s="74" t="s">
        <v>604</v>
      </c>
      <c r="I41" s="117">
        <f ca="1">IFERROR(__xludf.DUMMYFUNCTION("IF(D41=E41,C41,GOOGLEFINANCE(CONCATENATE(D41,E41))*C41)"),46.49875869)</f>
        <v>46.498758690000003</v>
      </c>
      <c r="J41" s="85" t="s">
        <v>302</v>
      </c>
      <c r="K41" s="118">
        <f ca="1">IFERROR(__xludf.DUMMYFUNCTION("VALUE(IF(D41=""USD"",C41,IF(D41=""EUR"",C41/GOOGLEFINANCE(CONCATENATE(L41,N41)),IF(D41=E41,C41/GOOGLEFINANCE(CONCATENATE(L41,J41))))))"),5.99)</f>
        <v>5.99</v>
      </c>
      <c r="L41" s="119" t="s">
        <v>86</v>
      </c>
      <c r="M41" s="118">
        <f ca="1">IFERROR(__xludf.DUMMYFUNCTION("VALUE(IF(D41=""EUR"",C41,IF(D41=""USD"",GOOGLEFINANCE(CONCATENATE(L41,N41))*C41,IF(D41=E41,C41/GOOGLEFINANCE(CONCATENATE(N41,J41))))))"),6.08808625)</f>
        <v>6.0880862499999999</v>
      </c>
      <c r="N41" s="119" t="s">
        <v>85</v>
      </c>
    </row>
    <row r="42" spans="1:14" ht="13" x14ac:dyDescent="0.15">
      <c r="A42" s="73" t="s">
        <v>608</v>
      </c>
      <c r="B42" s="74" t="s">
        <v>306</v>
      </c>
      <c r="C42" s="116">
        <v>5.99</v>
      </c>
      <c r="D42" s="96" t="s">
        <v>86</v>
      </c>
      <c r="E42" s="76" t="s">
        <v>307</v>
      </c>
      <c r="F42" s="77"/>
      <c r="G42" s="73" t="s">
        <v>608</v>
      </c>
      <c r="H42" s="74" t="s">
        <v>306</v>
      </c>
      <c r="I42" s="117">
        <f ca="1">IFERROR(__xludf.DUMMYFUNCTION("IF(D42=E42,C42,GOOGLEFINANCE(CONCATENATE(D42,E42))*C42)"),146.6354995)</f>
        <v>146.63549950000001</v>
      </c>
      <c r="J42" s="85" t="s">
        <v>307</v>
      </c>
      <c r="K42" s="118">
        <f ca="1">IFERROR(__xludf.DUMMYFUNCTION("VALUE(IF(D42=""USD"",C42,IF(D42=""EUR"",C42/GOOGLEFINANCE(CONCATENATE(L42,N42)),IF(D42=E42,C42/GOOGLEFINANCE(CONCATENATE(L42,J42))))))"),5.99)</f>
        <v>5.99</v>
      </c>
      <c r="L42" s="119" t="s">
        <v>86</v>
      </c>
      <c r="M42" s="118">
        <f ca="1">IFERROR(__xludf.DUMMYFUNCTION("VALUE(IF(D42=""EUR"",C42,IF(D42=""USD"",GOOGLEFINANCE(CONCATENATE(L42,N42))*C42,IF(D42=E42,C42/GOOGLEFINANCE(CONCATENATE(N42,J42))))))"),6.08808625)</f>
        <v>6.0880862499999999</v>
      </c>
      <c r="N42" s="119" t="s">
        <v>85</v>
      </c>
    </row>
    <row r="43" spans="1:14" ht="13" x14ac:dyDescent="0.15">
      <c r="A43" s="73" t="s">
        <v>65</v>
      </c>
      <c r="B43" s="74" t="s">
        <v>118</v>
      </c>
      <c r="C43" s="116">
        <v>73</v>
      </c>
      <c r="D43" s="96" t="s">
        <v>119</v>
      </c>
      <c r="E43" s="76" t="s">
        <v>119</v>
      </c>
      <c r="F43" s="77"/>
      <c r="G43" s="73" t="s">
        <v>65</v>
      </c>
      <c r="H43" s="74" t="s">
        <v>118</v>
      </c>
      <c r="I43" s="117">
        <f ca="1">IFERROR(__xludf.DUMMYFUNCTION("IF(D43=E43,C43,GOOGLEFINANCE(CONCATENATE(D43,E43))*C43)"),73)</f>
        <v>73</v>
      </c>
      <c r="J43" s="79" t="s">
        <v>119</v>
      </c>
      <c r="K43" s="118">
        <f ca="1">IFERROR(__xludf.DUMMYFUNCTION("VALUE(IF(D43=""USD"",C43,IF(D43=""EUR"",C43/GOOGLEFINANCE(CONCATENATE(L43,N43)),IF(D43=E43,C43/GOOGLEFINANCE(CONCATENATE(L43,J43))))))"),9.300322708)</f>
        <v>9.3003227079999995</v>
      </c>
      <c r="L43" s="119" t="s">
        <v>86</v>
      </c>
      <c r="M43" s="118">
        <f ca="1">IFERROR(__xludf.DUMMYFUNCTION("VALUE(IF(D43=""EUR"",C43,IF(D43=""USD"",GOOGLEFINANCE(CONCATENATE(L43,N43))*C43,IF(D43=E43,C43/GOOGLEFINANCE(CONCATENATE(N43,J43))))))"),9.450939268)</f>
        <v>9.4509392680000008</v>
      </c>
      <c r="N43" s="119" t="s">
        <v>85</v>
      </c>
    </row>
    <row r="44" spans="1:14" ht="13" x14ac:dyDescent="0.15">
      <c r="A44" s="73" t="s">
        <v>72</v>
      </c>
      <c r="B44" s="74" t="s">
        <v>120</v>
      </c>
      <c r="C44" s="116">
        <v>2490</v>
      </c>
      <c r="D44" s="96" t="s">
        <v>121</v>
      </c>
      <c r="E44" s="76" t="s">
        <v>121</v>
      </c>
      <c r="F44" s="77"/>
      <c r="G44" s="73" t="s">
        <v>72</v>
      </c>
      <c r="H44" s="74" t="s">
        <v>120</v>
      </c>
      <c r="I44" s="117">
        <f ca="1">IFERROR(__xludf.DUMMYFUNCTION("IF(D44=E44,C44,GOOGLEFINANCE(CONCATENATE(D44,E44))*C44)"),2490)</f>
        <v>2490</v>
      </c>
      <c r="J44" s="79" t="s">
        <v>121</v>
      </c>
      <c r="K44" s="118">
        <f ca="1">IFERROR(__xludf.DUMMYFUNCTION("VALUE(IF(D44=""USD"",C44,IF(D44=""EUR"",C44/GOOGLEFINANCE(CONCATENATE(L44,N44)),IF(D44=E44,C44/GOOGLEFINANCE(CONCATENATE(L44,J44))))))"),5.99177034)</f>
        <v>5.9917703400000004</v>
      </c>
      <c r="L44" s="119" t="s">
        <v>86</v>
      </c>
      <c r="M44" s="118">
        <f ca="1">IFERROR(__xludf.DUMMYFUNCTION("VALUE(IF(D44=""EUR"",C44,IF(D44=""USD"",GOOGLEFINANCE(CONCATENATE(L44,N44))*C44,IF(D44=E44,C44/GOOGLEFINANCE(CONCATENATE(N44,J44))))))"),6.089903112)</f>
        <v>6.089903112</v>
      </c>
      <c r="N44" s="119" t="s">
        <v>85</v>
      </c>
    </row>
    <row r="45" spans="1:14" ht="13" x14ac:dyDescent="0.15">
      <c r="A45" s="73" t="s">
        <v>626</v>
      </c>
      <c r="B45" s="74" t="s">
        <v>627</v>
      </c>
      <c r="C45" s="116">
        <v>8.99</v>
      </c>
      <c r="D45" s="96" t="s">
        <v>85</v>
      </c>
      <c r="E45" s="76" t="s">
        <v>328</v>
      </c>
      <c r="F45" s="77"/>
      <c r="G45" s="73" t="s">
        <v>626</v>
      </c>
      <c r="H45" s="74" t="s">
        <v>627</v>
      </c>
      <c r="I45" s="117">
        <f ca="1">IFERROR(__xludf.DUMMYFUNCTION("IF(D45=E45,C45,GOOGLEFINANCE(CONCATENATE(D45,E45))*C45)"),1277.572983258)</f>
        <v>1277.572983258</v>
      </c>
      <c r="J45" s="85" t="s">
        <v>328</v>
      </c>
      <c r="K45" s="118">
        <f ca="1">IFERROR(__xludf.DUMMYFUNCTION("VALUE(IF(D45=""USD"",C45,IF(D45=""EUR"",C45/GOOGLEFINANCE(CONCATENATE(L45,N45)),IF(D45=E45,C45/GOOGLEFINANCE(CONCATENATE(L45,J45))))))"),8.845160497)</f>
        <v>8.8451604970000002</v>
      </c>
      <c r="L45" s="119" t="s">
        <v>86</v>
      </c>
      <c r="M45" s="118">
        <f ca="1">IFERROR(__xludf.DUMMYFUNCTION("VALUE(IF(D45=""EUR"",C45,IF(D45=""USD"",GOOGLEFINANCE(CONCATENATE(L45,N45))*C45,IF(D45=E45,C45/GOOGLEFINANCE(CONCATENATE(N45,J45))))))"),8.99)</f>
        <v>8.99</v>
      </c>
      <c r="N45" s="119" t="s">
        <v>85</v>
      </c>
    </row>
    <row r="46" spans="1:14" ht="13" x14ac:dyDescent="0.15">
      <c r="A46" s="73" t="s">
        <v>82</v>
      </c>
      <c r="B46" s="74" t="s">
        <v>122</v>
      </c>
      <c r="C46" s="116">
        <v>49</v>
      </c>
      <c r="D46" s="96" t="s">
        <v>123</v>
      </c>
      <c r="E46" s="76" t="s">
        <v>123</v>
      </c>
      <c r="F46" s="77"/>
      <c r="G46" s="73" t="s">
        <v>82</v>
      </c>
      <c r="H46" s="74" t="s">
        <v>122</v>
      </c>
      <c r="I46" s="117">
        <f ca="1">IFERROR(__xludf.DUMMYFUNCTION("IF(D46=E46,C46,GOOGLEFINANCE(CONCATENATE(D46,E46))*C46)"),49)</f>
        <v>49</v>
      </c>
      <c r="J46" s="79" t="s">
        <v>123</v>
      </c>
      <c r="K46" s="118">
        <f ca="1">IFERROR(__xludf.DUMMYFUNCTION("VALUE(IF(D46=""USD"",C46,IF(D46=""EUR"",C46/GOOGLEFINANCE(CONCATENATE(L46,N46)),IF(D46=E46,C46/GOOGLEFINANCE(CONCATENATE(L46,J46))))))"),0.5923311252)</f>
        <v>0.59233112519999997</v>
      </c>
      <c r="L46" s="119" t="s">
        <v>86</v>
      </c>
      <c r="M46" s="118">
        <f ca="1">IFERROR(__xludf.DUMMYFUNCTION("VALUE(IF(D46=""EUR"",C46,IF(D46=""USD"",GOOGLEFINANCE(CONCATENATE(L46,N46))*C46,IF(D46=E46,C46/GOOGLEFINANCE(CONCATENATE(N46,J46))))))"),0.602817248)</f>
        <v>0.60281724800000003</v>
      </c>
      <c r="N46" s="119" t="s">
        <v>85</v>
      </c>
    </row>
    <row r="47" spans="1:14" ht="13" x14ac:dyDescent="0.15">
      <c r="A47" s="73" t="s">
        <v>76</v>
      </c>
      <c r="B47" s="74" t="s">
        <v>124</v>
      </c>
      <c r="C47" s="116">
        <v>20000</v>
      </c>
      <c r="D47" s="96" t="s">
        <v>125</v>
      </c>
      <c r="E47" s="76" t="s">
        <v>125</v>
      </c>
      <c r="F47" s="77"/>
      <c r="G47" s="73" t="s">
        <v>76</v>
      </c>
      <c r="H47" s="74" t="s">
        <v>124</v>
      </c>
      <c r="I47" s="117">
        <f ca="1">IFERROR(__xludf.DUMMYFUNCTION("IF(D47=E47,C47,GOOGLEFINANCE(CONCATENATE(D47,E47))*C47)"),20000)</f>
        <v>20000</v>
      </c>
      <c r="J47" s="79" t="s">
        <v>125</v>
      </c>
      <c r="K47" s="118">
        <f ca="1">IFERROR(__xludf.DUMMYFUNCTION("VALUE(IF(D47=""USD"",C47,IF(D47=""EUR"",C47/GOOGLEFINANCE(CONCATENATE(L47,N47)),IF(D47=E47,C47/GOOGLEFINANCE(CONCATENATE(L47,J47))))))"),1.283944277)</f>
        <v>1.283944277</v>
      </c>
      <c r="L47" s="119" t="s">
        <v>86</v>
      </c>
      <c r="M47" s="118">
        <f ca="1">IFERROR(__xludf.DUMMYFUNCTION("VALUE(IF(D47=""EUR"",C47,IF(D47=""USD"",GOOGLEFINANCE(CONCATENATE(L47,N47))*C47,IF(D47=E47,C47/GOOGLEFINANCE(CONCATENATE(N47,J47))))))"),1.304900987)</f>
        <v>1.3049009869999999</v>
      </c>
      <c r="N47" s="119" t="s">
        <v>85</v>
      </c>
    </row>
    <row r="48" spans="1:14" ht="13" x14ac:dyDescent="0.15">
      <c r="A48" s="86" t="s">
        <v>625</v>
      </c>
      <c r="B48" s="87" t="s">
        <v>324</v>
      </c>
      <c r="C48" s="120"/>
      <c r="D48" s="89"/>
      <c r="E48" s="89"/>
      <c r="F48" s="77"/>
      <c r="G48" s="86" t="s">
        <v>625</v>
      </c>
      <c r="H48" s="87" t="s">
        <v>324</v>
      </c>
      <c r="I48" s="113" t="str">
        <f ca="1">IFERROR(__xludf.DUMMYFUNCTION("IF(D48=E48,C48,GOOGLEFINANCE(CONCATENATE(D48,E48))*C48)"),"")</f>
        <v/>
      </c>
      <c r="J48" s="89"/>
      <c r="K48" s="114"/>
      <c r="L48" s="115"/>
      <c r="M48" s="114"/>
      <c r="N48" s="115"/>
    </row>
    <row r="49" spans="1:14" ht="13" x14ac:dyDescent="0.15">
      <c r="A49" s="73" t="s">
        <v>623</v>
      </c>
      <c r="B49" s="74" t="s">
        <v>624</v>
      </c>
      <c r="C49" s="116">
        <v>4999.99</v>
      </c>
      <c r="D49" s="96" t="s">
        <v>322</v>
      </c>
      <c r="E49" s="76" t="s">
        <v>322</v>
      </c>
      <c r="F49" s="77"/>
      <c r="G49" s="73" t="s">
        <v>623</v>
      </c>
      <c r="H49" s="74" t="s">
        <v>624</v>
      </c>
      <c r="I49" s="117">
        <f ca="1">IFERROR(__xludf.DUMMYFUNCTION("IF(D49=E49,C49,GOOGLEFINANCE(CONCATENATE(D49,E49))*C49)"),4999.99)</f>
        <v>4999.99</v>
      </c>
      <c r="J49" s="79" t="s">
        <v>322</v>
      </c>
      <c r="K49" s="118">
        <f ca="1">IFERROR(__xludf.DUMMYFUNCTION("VALUE(IF(D49=""USD"",C49,IF(D49=""EUR"",C49/GOOGLEFINANCE(CONCATENATE(L49,N49)),IF(D49=E49,C49/GOOGLEFINANCE(CONCATENATE(L49,J49))))))"),3.459130636)</f>
        <v>3.4591306359999998</v>
      </c>
      <c r="L49" s="119" t="s">
        <v>86</v>
      </c>
      <c r="M49" s="118">
        <f ca="1">IFERROR(__xludf.DUMMYFUNCTION("VALUE(IF(D49=""EUR"",C49,IF(D49=""USD"",GOOGLEFINANCE(CONCATENATE(L49,N49))*C49,IF(D49=E49,C49/GOOGLEFINANCE(CONCATENATE(N49,J49))))))"),3.515591028)</f>
        <v>3.5155910279999998</v>
      </c>
      <c r="N49" s="119" t="s">
        <v>85</v>
      </c>
    </row>
    <row r="50" spans="1:14" ht="13" x14ac:dyDescent="0.15">
      <c r="A50" s="73" t="s">
        <v>30</v>
      </c>
      <c r="B50" s="74" t="s">
        <v>126</v>
      </c>
      <c r="C50" s="116">
        <v>8.99</v>
      </c>
      <c r="D50" s="96" t="s">
        <v>85</v>
      </c>
      <c r="E50" s="76" t="s">
        <v>85</v>
      </c>
      <c r="F50" s="77"/>
      <c r="G50" s="73" t="s">
        <v>30</v>
      </c>
      <c r="H50" s="74" t="s">
        <v>126</v>
      </c>
      <c r="I50" s="117">
        <f ca="1">IFERROR(__xludf.DUMMYFUNCTION("IF(D50=E50,C50,GOOGLEFINANCE(CONCATENATE(D50,E50))*C50)"),8.99)</f>
        <v>8.99</v>
      </c>
      <c r="J50" s="79" t="s">
        <v>85</v>
      </c>
      <c r="K50" s="118">
        <f ca="1">IFERROR(__xludf.DUMMYFUNCTION("VALUE(IF(D50=""USD"",C50,IF(D50=""EUR"",C50/GOOGLEFINANCE(CONCATENATE(L50,N50)),IF(D50=E50,C50/GOOGLEFINANCE(CONCATENATE(L50,J50))))))"),8.845160497)</f>
        <v>8.8451604970000002</v>
      </c>
      <c r="L50" s="119" t="s">
        <v>86</v>
      </c>
      <c r="M50" s="118">
        <f ca="1">IFERROR(__xludf.DUMMYFUNCTION("VALUE(IF(D50=""EUR"",C50,IF(D50=""USD"",GOOGLEFINANCE(CONCATENATE(L50,N50))*C50,IF(D50=E50,C50/GOOGLEFINANCE(CONCATENATE(N50,J50))))))"),8.99)</f>
        <v>8.99</v>
      </c>
      <c r="N50" s="119" t="s">
        <v>85</v>
      </c>
    </row>
    <row r="51" spans="1:14" ht="13" x14ac:dyDescent="0.15">
      <c r="A51" s="86" t="s">
        <v>38</v>
      </c>
      <c r="B51" s="87" t="s">
        <v>127</v>
      </c>
      <c r="C51" s="120"/>
      <c r="D51" s="89"/>
      <c r="E51" s="89"/>
      <c r="F51" s="77"/>
      <c r="G51" s="86" t="s">
        <v>38</v>
      </c>
      <c r="H51" s="87" t="s">
        <v>127</v>
      </c>
      <c r="I51" s="113" t="str">
        <f ca="1">IFERROR(__xludf.DUMMYFUNCTION("IF(D51=E51,C51,GOOGLEFINANCE(CONCATENATE(D51,E51))*C51)"),"")</f>
        <v/>
      </c>
      <c r="J51" s="89"/>
      <c r="K51" s="114"/>
      <c r="L51" s="115"/>
      <c r="M51" s="114"/>
      <c r="N51" s="115"/>
    </row>
    <row r="52" spans="1:14" ht="13" x14ac:dyDescent="0.15">
      <c r="A52" s="73" t="s">
        <v>34</v>
      </c>
      <c r="B52" s="74" t="s">
        <v>129</v>
      </c>
      <c r="C52" s="116">
        <v>8.99</v>
      </c>
      <c r="D52" s="96" t="s">
        <v>85</v>
      </c>
      <c r="E52" s="76" t="s">
        <v>85</v>
      </c>
      <c r="F52" s="77"/>
      <c r="G52" s="73" t="s">
        <v>34</v>
      </c>
      <c r="H52" s="74" t="s">
        <v>129</v>
      </c>
      <c r="I52" s="117">
        <f ca="1">IFERROR(__xludf.DUMMYFUNCTION("IF(D52=E52,C52,GOOGLEFINANCE(CONCATENATE(D52,E52))*C52)"),8.99)</f>
        <v>8.99</v>
      </c>
      <c r="J52" s="79" t="s">
        <v>85</v>
      </c>
      <c r="K52" s="118">
        <f ca="1">IFERROR(__xludf.DUMMYFUNCTION("VALUE(IF(D52=""USD"",C52,IF(D52=""EUR"",C52/GOOGLEFINANCE(CONCATENATE(L52,N52)),IF(D52=E52,C52/GOOGLEFINANCE(CONCATENATE(L52,J52))))))"),8.845160497)</f>
        <v>8.8451604970000002</v>
      </c>
      <c r="L52" s="119" t="s">
        <v>86</v>
      </c>
      <c r="M52" s="118">
        <f ca="1">IFERROR(__xludf.DUMMYFUNCTION("VALUE(IF(D52=""EUR"",C52,IF(D52=""USD"",GOOGLEFINANCE(CONCATENATE(L52,N52))*C52,IF(D52=E52,C52/GOOGLEFINANCE(CONCATENATE(N52,J52))))))"),8.99)</f>
        <v>8.99</v>
      </c>
      <c r="N52" s="119" t="s">
        <v>85</v>
      </c>
    </row>
    <row r="53" spans="1:14" ht="13" x14ac:dyDescent="0.15">
      <c r="A53" s="73" t="s">
        <v>628</v>
      </c>
      <c r="B53" s="74" t="s">
        <v>629</v>
      </c>
      <c r="C53" s="116">
        <v>5.99</v>
      </c>
      <c r="D53" s="96" t="s">
        <v>86</v>
      </c>
      <c r="E53" s="76" t="s">
        <v>333</v>
      </c>
      <c r="F53" s="77"/>
      <c r="G53" s="73" t="s">
        <v>628</v>
      </c>
      <c r="H53" s="74" t="s">
        <v>629</v>
      </c>
      <c r="I53" s="117">
        <f ca="1">IFERROR(__xludf.DUMMYFUNCTION("IF(D53=E53,C53,GOOGLEFINANCE(CONCATENATE(D53,E53))*C53)"),907.691655)</f>
        <v>907.69165499999997</v>
      </c>
      <c r="J53" s="85" t="s">
        <v>333</v>
      </c>
      <c r="K53" s="118">
        <f ca="1">IFERROR(__xludf.DUMMYFUNCTION("VALUE(IF(D53=""USD"",C53,IF(D53=""EUR"",C53/GOOGLEFINANCE(CONCATENATE(L53,N53)),IF(D53=E53,C53/GOOGLEFINANCE(CONCATENATE(L53,J53))))))"),5.99)</f>
        <v>5.99</v>
      </c>
      <c r="L53" s="119" t="s">
        <v>86</v>
      </c>
      <c r="M53" s="118">
        <f ca="1">IFERROR(__xludf.DUMMYFUNCTION("VALUE(IF(D53=""EUR"",C53,IF(D53=""USD"",GOOGLEFINANCE(CONCATENATE(L53,N53))*C53,IF(D53=E53,C53/GOOGLEFINANCE(CONCATENATE(N53,J53))))))"),6.08808625)</f>
        <v>6.0880862499999999</v>
      </c>
      <c r="N53" s="119" t="s">
        <v>85</v>
      </c>
    </row>
    <row r="54" spans="1:14" ht="13" x14ac:dyDescent="0.15">
      <c r="A54" s="73" t="s">
        <v>67</v>
      </c>
      <c r="B54" s="74" t="s">
        <v>130</v>
      </c>
      <c r="C54" s="116">
        <v>990</v>
      </c>
      <c r="D54" s="96" t="s">
        <v>131</v>
      </c>
      <c r="E54" s="76" t="s">
        <v>131</v>
      </c>
      <c r="F54" s="77"/>
      <c r="G54" s="73" t="s">
        <v>67</v>
      </c>
      <c r="H54" s="74" t="s">
        <v>130</v>
      </c>
      <c r="I54" s="117">
        <f ca="1">IFERROR(__xludf.DUMMYFUNCTION("IF(D54=E54,C54,GOOGLEFINANCE(CONCATENATE(D54,E54))*C54)"),990)</f>
        <v>990</v>
      </c>
      <c r="J54" s="79" t="s">
        <v>131</v>
      </c>
      <c r="K54" s="118">
        <f ca="1">IFERROR(__xludf.DUMMYFUNCTION("VALUE(IF(D54=""USD"",C54,IF(D54=""EUR"",C54/GOOGLEFINANCE(CONCATENATE(L54,N54)),IF(D54=E54,C54/GOOGLEFINANCE(CONCATENATE(L54,J54))))))"),6.632166005)</f>
        <v>6.6321660050000002</v>
      </c>
      <c r="L54" s="119" t="s">
        <v>86</v>
      </c>
      <c r="M54" s="118">
        <f ca="1">IFERROR(__xludf.DUMMYFUNCTION("VALUE(IF(D54=""EUR"",C54,IF(D54=""USD"",GOOGLEFINANCE(CONCATENATE(L54,N54))*C54,IF(D54=E54,C54/GOOGLEFINANCE(CONCATENATE(N54,J54))))))"),6.740586159)</f>
        <v>6.7405861590000002</v>
      </c>
      <c r="N54" s="119" t="s">
        <v>85</v>
      </c>
    </row>
    <row r="55" spans="1:14" ht="13" x14ac:dyDescent="0.15">
      <c r="A55" s="73" t="s">
        <v>630</v>
      </c>
      <c r="B55" s="74" t="s">
        <v>631</v>
      </c>
      <c r="C55" s="116">
        <v>2.99</v>
      </c>
      <c r="D55" s="96" t="s">
        <v>336</v>
      </c>
      <c r="E55" s="76" t="s">
        <v>336</v>
      </c>
      <c r="F55" s="77"/>
      <c r="G55" s="73" t="s">
        <v>630</v>
      </c>
      <c r="H55" s="74" t="s">
        <v>631</v>
      </c>
      <c r="I55" s="117">
        <f ca="1">IFERROR(__xludf.DUMMYFUNCTION("IF(D55=E55,C55,GOOGLEFINANCE(CONCATENATE(D55,E55))*C55)"),2.99)</f>
        <v>2.99</v>
      </c>
      <c r="J55" s="79" t="s">
        <v>336</v>
      </c>
      <c r="K55" s="118">
        <f ca="1">IFERROR(__xludf.DUMMYFUNCTION("VALUE(IF(D55=""USD"",C55,IF(D55=""EUR"",C55/GOOGLEFINANCE(CONCATENATE(L55,N55)),IF(D55=E55,C55/GOOGLEFINANCE(CONCATENATE(L55,J55))))))"),4.217207334)</f>
        <v>4.2172073340000003</v>
      </c>
      <c r="L55" s="119" t="s">
        <v>86</v>
      </c>
      <c r="M55" s="118">
        <f ca="1">IFERROR(__xludf.DUMMYFUNCTION("VALUE(IF(D55=""EUR"",C55,IF(D55=""USD"",GOOGLEFINANCE(CONCATENATE(L55,N55))*C55,IF(D55=E55,C55/GOOGLEFINANCE(CONCATENATE(N55,J55))))))"),4.286041155)</f>
        <v>4.2860411550000004</v>
      </c>
      <c r="N55" s="119" t="s">
        <v>85</v>
      </c>
    </row>
    <row r="56" spans="1:14" ht="13" x14ac:dyDescent="0.15">
      <c r="A56" s="86" t="s">
        <v>49</v>
      </c>
      <c r="B56" s="87" t="s">
        <v>132</v>
      </c>
      <c r="C56" s="120"/>
      <c r="D56" s="89"/>
      <c r="E56" s="89"/>
      <c r="F56" s="77"/>
      <c r="G56" s="86" t="s">
        <v>49</v>
      </c>
      <c r="H56" s="87" t="s">
        <v>132</v>
      </c>
      <c r="I56" s="113" t="str">
        <f ca="1">IFERROR(__xludf.DUMMYFUNCTION("IF(D56=E56,C56,GOOGLEFINANCE(CONCATENATE(D56,E56))*C56)"),"")</f>
        <v/>
      </c>
      <c r="J56" s="89"/>
      <c r="K56" s="114"/>
      <c r="L56" s="115"/>
      <c r="M56" s="114"/>
      <c r="N56" s="115"/>
    </row>
    <row r="57" spans="1:14" ht="13" x14ac:dyDescent="0.15">
      <c r="A57" s="86" t="s">
        <v>635</v>
      </c>
      <c r="B57" s="87" t="s">
        <v>636</v>
      </c>
      <c r="C57" s="120"/>
      <c r="D57" s="89"/>
      <c r="E57" s="89"/>
      <c r="F57" s="77"/>
      <c r="G57" s="86" t="s">
        <v>635</v>
      </c>
      <c r="H57" s="87" t="s">
        <v>636</v>
      </c>
      <c r="I57" s="113" t="str">
        <f ca="1">IFERROR(__xludf.DUMMYFUNCTION("IF(D57=E57,C57,GOOGLEFINANCE(CONCATENATE(D57,E57))*C57)"),"")</f>
        <v/>
      </c>
      <c r="J57" s="89"/>
      <c r="K57" s="114"/>
      <c r="L57" s="115"/>
      <c r="M57" s="114"/>
      <c r="N57" s="115"/>
    </row>
    <row r="58" spans="1:14" ht="13" x14ac:dyDescent="0.15">
      <c r="A58" s="73" t="s">
        <v>647</v>
      </c>
      <c r="B58" s="74" t="s">
        <v>648</v>
      </c>
      <c r="C58" s="116">
        <v>8.99</v>
      </c>
      <c r="D58" s="96" t="s">
        <v>86</v>
      </c>
      <c r="E58" s="76" t="s">
        <v>352</v>
      </c>
      <c r="F58" s="77"/>
      <c r="G58" s="73" t="s">
        <v>647</v>
      </c>
      <c r="H58" s="74" t="s">
        <v>648</v>
      </c>
      <c r="I58" s="117">
        <f ca="1">IFERROR(__xludf.DUMMYFUNCTION("IF(D58=E58,C58,GOOGLEFINANCE(CONCATENATE(D58,E58))*C58)"),2.7899566)</f>
        <v>2.7899566</v>
      </c>
      <c r="J58" s="85" t="s">
        <v>352</v>
      </c>
      <c r="K58" s="118">
        <f ca="1">IFERROR(__xludf.DUMMYFUNCTION("VALUE(IF(D58=""USD"",C58,IF(D58=""EUR"",C58/GOOGLEFINANCE(CONCATENATE(L58,N58)),IF(D58=E58,C58/GOOGLEFINANCE(CONCATENATE(L58,J58))))))"),8.99)</f>
        <v>8.99</v>
      </c>
      <c r="L58" s="119" t="s">
        <v>86</v>
      </c>
      <c r="M58" s="118">
        <f ca="1">IFERROR(__xludf.DUMMYFUNCTION("VALUE(IF(D58=""EUR"",C58,IF(D58=""USD"",GOOGLEFINANCE(CONCATENATE(L58,N58))*C58,IF(D58=E58,C58/GOOGLEFINANCE(CONCATENATE(N58,J58))))))"),9.13721125)</f>
        <v>9.13721125</v>
      </c>
      <c r="N58" s="119" t="s">
        <v>85</v>
      </c>
    </row>
    <row r="59" spans="1:14" ht="13" x14ac:dyDescent="0.15">
      <c r="A59" s="86" t="s">
        <v>640</v>
      </c>
      <c r="B59" s="87" t="s">
        <v>641</v>
      </c>
      <c r="C59" s="120"/>
      <c r="D59" s="89"/>
      <c r="E59" s="89"/>
      <c r="F59" s="77"/>
      <c r="G59" s="86" t="s">
        <v>640</v>
      </c>
      <c r="H59" s="87" t="s">
        <v>641</v>
      </c>
      <c r="I59" s="113" t="str">
        <f ca="1">IFERROR(__xludf.DUMMYFUNCTION("IF(D59=E59,C59,GOOGLEFINANCE(CONCATENATE(D59,E59))*C59)"),"")</f>
        <v/>
      </c>
      <c r="J59" s="89"/>
      <c r="K59" s="114"/>
      <c r="L59" s="115"/>
      <c r="M59" s="114"/>
      <c r="N59" s="115"/>
    </row>
    <row r="60" spans="1:14" ht="13" x14ac:dyDescent="0.15">
      <c r="A60" s="86" t="s">
        <v>650</v>
      </c>
      <c r="B60" s="87" t="s">
        <v>651</v>
      </c>
      <c r="C60" s="120"/>
      <c r="D60" s="89"/>
      <c r="E60" s="89"/>
      <c r="F60" s="77"/>
      <c r="G60" s="86" t="s">
        <v>650</v>
      </c>
      <c r="H60" s="87" t="s">
        <v>651</v>
      </c>
      <c r="I60" s="113" t="str">
        <f ca="1">IFERROR(__xludf.DUMMYFUNCTION("IF(D60=E60,C60,GOOGLEFINANCE(CONCATENATE(D60,E60))*C60)"),"")</f>
        <v/>
      </c>
      <c r="J60" s="89"/>
      <c r="K60" s="114"/>
      <c r="L60" s="115"/>
      <c r="M60" s="114"/>
      <c r="N60" s="115"/>
    </row>
    <row r="61" spans="1:14" ht="13" x14ac:dyDescent="0.15">
      <c r="A61" s="73" t="s">
        <v>44</v>
      </c>
      <c r="B61" s="74" t="s">
        <v>134</v>
      </c>
      <c r="C61" s="116">
        <v>7.99</v>
      </c>
      <c r="D61" s="96" t="s">
        <v>85</v>
      </c>
      <c r="E61" s="76" t="s">
        <v>85</v>
      </c>
      <c r="F61" s="77"/>
      <c r="G61" s="73" t="s">
        <v>44</v>
      </c>
      <c r="H61" s="74" t="s">
        <v>134</v>
      </c>
      <c r="I61" s="117">
        <f ca="1">IFERROR(__xludf.DUMMYFUNCTION("IF(D61=E61,C61,GOOGLEFINANCE(CONCATENATE(D61,E61))*C61)"),7.99)</f>
        <v>7.99</v>
      </c>
      <c r="J61" s="79" t="s">
        <v>85</v>
      </c>
      <c r="K61" s="118">
        <f ca="1">IFERROR(__xludf.DUMMYFUNCTION("VALUE(IF(D61=""USD"",C61,IF(D61=""EUR"",C61/GOOGLEFINANCE(CONCATENATE(L61,N61)),IF(D61=E61,C61/GOOGLEFINANCE(CONCATENATE(L61,J61))))))"),7.861271676)</f>
        <v>7.8612716760000003</v>
      </c>
      <c r="L61" s="119" t="s">
        <v>86</v>
      </c>
      <c r="M61" s="118">
        <f ca="1">IFERROR(__xludf.DUMMYFUNCTION("VALUE(IF(D61=""EUR"",C61,IF(D61=""USD"",GOOGLEFINANCE(CONCATENATE(L61,N61))*C61,IF(D61=E61,C61/GOOGLEFINANCE(CONCATENATE(N61,J61))))))"),7.99)</f>
        <v>7.99</v>
      </c>
      <c r="N61" s="119" t="s">
        <v>85</v>
      </c>
    </row>
    <row r="62" spans="1:14" ht="13" x14ac:dyDescent="0.15">
      <c r="A62" s="73" t="s">
        <v>43</v>
      </c>
      <c r="B62" s="74" t="s">
        <v>135</v>
      </c>
      <c r="C62" s="116">
        <v>7.99</v>
      </c>
      <c r="D62" s="96" t="s">
        <v>85</v>
      </c>
      <c r="E62" s="76" t="s">
        <v>85</v>
      </c>
      <c r="F62" s="77"/>
      <c r="G62" s="73" t="s">
        <v>43</v>
      </c>
      <c r="H62" s="74" t="s">
        <v>135</v>
      </c>
      <c r="I62" s="117">
        <f ca="1">IFERROR(__xludf.DUMMYFUNCTION("IF(D62=E62,C62,GOOGLEFINANCE(CONCATENATE(D62,E62))*C62)"),7.99)</f>
        <v>7.99</v>
      </c>
      <c r="J62" s="79" t="s">
        <v>85</v>
      </c>
      <c r="K62" s="118">
        <f ca="1">IFERROR(__xludf.DUMMYFUNCTION("VALUE(IF(D62=""USD"",C62,IF(D62=""EUR"",C62/GOOGLEFINANCE(CONCATENATE(L62,N62)),IF(D62=E62,C62/GOOGLEFINANCE(CONCATENATE(L62,J62))))))"),7.861271676)</f>
        <v>7.8612716760000003</v>
      </c>
      <c r="L62" s="119" t="s">
        <v>86</v>
      </c>
      <c r="M62" s="118">
        <f ca="1">IFERROR(__xludf.DUMMYFUNCTION("VALUE(IF(D62=""EUR"",C62,IF(D62=""USD"",GOOGLEFINANCE(CONCATENATE(L62,N62))*C62,IF(D62=E62,C62/GOOGLEFINANCE(CONCATENATE(N62,J62))))))"),7.99)</f>
        <v>7.99</v>
      </c>
      <c r="N62" s="119" t="s">
        <v>85</v>
      </c>
    </row>
    <row r="63" spans="1:14" ht="13" x14ac:dyDescent="0.15">
      <c r="A63" s="73" t="s">
        <v>653</v>
      </c>
      <c r="B63" s="74" t="s">
        <v>654</v>
      </c>
      <c r="C63" s="116">
        <v>8.99</v>
      </c>
      <c r="D63" s="96" t="s">
        <v>85</v>
      </c>
      <c r="E63" s="76" t="s">
        <v>85</v>
      </c>
      <c r="F63" s="77"/>
      <c r="G63" s="73" t="s">
        <v>653</v>
      </c>
      <c r="H63" s="74" t="s">
        <v>654</v>
      </c>
      <c r="I63" s="117">
        <f ca="1">IFERROR(__xludf.DUMMYFUNCTION("IF(D63=E63,C63,GOOGLEFINANCE(CONCATENATE(D63,E63))*C63)"),8.99)</f>
        <v>8.99</v>
      </c>
      <c r="J63" s="79" t="s">
        <v>85</v>
      </c>
      <c r="K63" s="118">
        <f ca="1">IFERROR(__xludf.DUMMYFUNCTION("VALUE(IF(D63=""USD"",C63,IF(D63=""EUR"",C63/GOOGLEFINANCE(CONCATENATE(L63,N63)),IF(D63=E63,C63/GOOGLEFINANCE(CONCATENATE(L63,J63))))))"),8.845160497)</f>
        <v>8.8451604970000002</v>
      </c>
      <c r="L63" s="119" t="s">
        <v>86</v>
      </c>
      <c r="M63" s="118">
        <f ca="1">IFERROR(__xludf.DUMMYFUNCTION("VALUE(IF(D63=""EUR"",C63,IF(D63=""USD"",GOOGLEFINANCE(CONCATENATE(L63,N63))*C63,IF(D63=E63,C63/GOOGLEFINANCE(CONCATENATE(N63,J63))))))"),8.99)</f>
        <v>8.99</v>
      </c>
      <c r="N63" s="119" t="s">
        <v>85</v>
      </c>
    </row>
    <row r="64" spans="1:14" ht="13" x14ac:dyDescent="0.15">
      <c r="A64" s="86" t="s">
        <v>655</v>
      </c>
      <c r="B64" s="87" t="s">
        <v>656</v>
      </c>
      <c r="C64" s="120"/>
      <c r="D64" s="89"/>
      <c r="E64" s="89"/>
      <c r="F64" s="77"/>
      <c r="G64" s="86" t="s">
        <v>655</v>
      </c>
      <c r="H64" s="87" t="s">
        <v>656</v>
      </c>
      <c r="I64" s="113" t="str">
        <f ca="1">IFERROR(__xludf.DUMMYFUNCTION("IF(D64=E64,C64,GOOGLEFINANCE(CONCATENATE(D64,E64))*C64)"),"")</f>
        <v/>
      </c>
      <c r="J64" s="89"/>
      <c r="K64" s="114"/>
      <c r="L64" s="115"/>
      <c r="M64" s="114"/>
      <c r="N64" s="115"/>
    </row>
    <row r="65" spans="1:14" ht="13" x14ac:dyDescent="0.15">
      <c r="A65" s="73" t="s">
        <v>73</v>
      </c>
      <c r="B65" s="74" t="s">
        <v>136</v>
      </c>
      <c r="C65" s="116">
        <v>59.99</v>
      </c>
      <c r="D65" s="96" t="s">
        <v>137</v>
      </c>
      <c r="E65" s="76" t="s">
        <v>137</v>
      </c>
      <c r="F65" s="77"/>
      <c r="G65" s="73" t="s">
        <v>73</v>
      </c>
      <c r="H65" s="74" t="s">
        <v>136</v>
      </c>
      <c r="I65" s="117">
        <f ca="1">IFERROR(__xludf.DUMMYFUNCTION("IF(D65=E65,C65,GOOGLEFINANCE(CONCATENATE(D65,E65))*C65)"),59.99)</f>
        <v>59.99</v>
      </c>
      <c r="J65" s="79" t="s">
        <v>137</v>
      </c>
      <c r="K65" s="118">
        <f ca="1">IFERROR(__xludf.DUMMYFUNCTION("VALUE(IF(D65=""USD"",C65,IF(D65=""EUR"",C65/GOOGLEFINANCE(CONCATENATE(L65,N65)),IF(D65=E65,C65/GOOGLEFINANCE(CONCATENATE(L65,J65))))))"),12.66146053)</f>
        <v>12.661460529999999</v>
      </c>
      <c r="L65" s="119" t="s">
        <v>86</v>
      </c>
      <c r="M65" s="118">
        <f ca="1">IFERROR(__xludf.DUMMYFUNCTION("VALUE(IF(D65=""EUR"",C65,IF(D65=""USD"",GOOGLEFINANCE(CONCATENATE(L65,N65))*C65,IF(D65=E65,C65/GOOGLEFINANCE(CONCATENATE(N65,J65))))))"),12.86812258)</f>
        <v>12.86812258</v>
      </c>
      <c r="N65" s="119" t="s">
        <v>85</v>
      </c>
    </row>
    <row r="66" spans="1:14" ht="13" x14ac:dyDescent="0.15">
      <c r="A66" s="73" t="s">
        <v>657</v>
      </c>
      <c r="B66" s="74" t="s">
        <v>385</v>
      </c>
      <c r="C66" s="116">
        <v>8.99</v>
      </c>
      <c r="D66" s="96" t="s">
        <v>85</v>
      </c>
      <c r="E66" s="76" t="s">
        <v>85</v>
      </c>
      <c r="F66" s="77"/>
      <c r="G66" s="73" t="s">
        <v>657</v>
      </c>
      <c r="H66" s="74" t="s">
        <v>385</v>
      </c>
      <c r="I66" s="117">
        <f ca="1">IFERROR(__xludf.DUMMYFUNCTION("IF(D66=E66,C66,GOOGLEFINANCE(CONCATENATE(D66,E66))*C66)"),8.99)</f>
        <v>8.99</v>
      </c>
      <c r="J66" s="79" t="s">
        <v>85</v>
      </c>
      <c r="K66" s="118">
        <f ca="1">IFERROR(__xludf.DUMMYFUNCTION("VALUE(IF(D66=""USD"",C66,IF(D66=""EUR"",C66/GOOGLEFINANCE(CONCATENATE(L66,N66)),IF(D66=E66,C66/GOOGLEFINANCE(CONCATENATE(L66,J66))))))"),8.845160497)</f>
        <v>8.8451604970000002</v>
      </c>
      <c r="L66" s="119" t="s">
        <v>86</v>
      </c>
      <c r="M66" s="118">
        <f ca="1">IFERROR(__xludf.DUMMYFUNCTION("VALUE(IF(D66=""EUR"",C66,IF(D66=""USD"",GOOGLEFINANCE(CONCATENATE(L66,N66))*C66,IF(D66=E66,C66/GOOGLEFINANCE(CONCATENATE(N66,J66))))))"),8.99)</f>
        <v>8.99</v>
      </c>
      <c r="N66" s="119" t="s">
        <v>85</v>
      </c>
    </row>
    <row r="67" spans="1:14" ht="13" x14ac:dyDescent="0.15">
      <c r="A67" s="73" t="s">
        <v>658</v>
      </c>
      <c r="B67" s="74" t="s">
        <v>387</v>
      </c>
      <c r="C67" s="116">
        <v>500</v>
      </c>
      <c r="D67" s="96" t="s">
        <v>388</v>
      </c>
      <c r="E67" s="76" t="s">
        <v>388</v>
      </c>
      <c r="F67" s="77"/>
      <c r="G67" s="73" t="s">
        <v>658</v>
      </c>
      <c r="H67" s="74" t="s">
        <v>387</v>
      </c>
      <c r="I67" s="117">
        <f ca="1">IFERROR(__xludf.DUMMYFUNCTION("IF(D67=E67,C67,GOOGLEFINANCE(CONCATENATE(D67,E67))*C67)"),500)</f>
        <v>500</v>
      </c>
      <c r="J67" s="79" t="s">
        <v>388</v>
      </c>
      <c r="K67" s="118">
        <f ca="1">IFERROR(__xludf.DUMMYFUNCTION("VALUE(IF(D67=""USD"",C67,IF(D67=""EUR"",C67/GOOGLEFINANCE(CONCATENATE(L67,N67)),IF(D67=E67,C67/GOOGLEFINANCE(CONCATENATE(L67,J67))))))"),11.29996619)</f>
        <v>11.299966189999999</v>
      </c>
      <c r="L67" s="119" t="s">
        <v>86</v>
      </c>
      <c r="M67" s="118">
        <f ca="1">IFERROR(__xludf.DUMMYFUNCTION("VALUE(IF(D67=""EUR"",C67,IF(D67=""USD"",GOOGLEFINANCE(CONCATENATE(L67,N67))*C67,IF(D67=E67,C67/GOOGLEFINANCE(CONCATENATE(N67,J67))))))"),11.48440575)</f>
        <v>11.484405750000001</v>
      </c>
      <c r="N67" s="119" t="s">
        <v>85</v>
      </c>
    </row>
    <row r="68" spans="1:14" ht="13" x14ac:dyDescent="0.15">
      <c r="A68" s="73" t="s">
        <v>58</v>
      </c>
      <c r="B68" s="74" t="s">
        <v>138</v>
      </c>
      <c r="C68" s="116">
        <v>159</v>
      </c>
      <c r="D68" s="96" t="s">
        <v>139</v>
      </c>
      <c r="E68" s="76" t="s">
        <v>139</v>
      </c>
      <c r="F68" s="77"/>
      <c r="G68" s="73" t="s">
        <v>58</v>
      </c>
      <c r="H68" s="74" t="s">
        <v>138</v>
      </c>
      <c r="I68" s="117">
        <f ca="1">IFERROR(__xludf.DUMMYFUNCTION("IF(D68=E68,C68,GOOGLEFINANCE(CONCATENATE(D68,E68))*C68)"),159)</f>
        <v>159</v>
      </c>
      <c r="J68" s="79" t="s">
        <v>139</v>
      </c>
      <c r="K68" s="118">
        <f ca="1">IFERROR(__xludf.DUMMYFUNCTION("VALUE(IF(D68=""USD"",C68,IF(D68=""EUR"",C68/GOOGLEFINANCE(CONCATENATE(L68,N68)),IF(D68=E68,C68/GOOGLEFINANCE(CONCATENATE(L68,J68))))))"),7.963649696)</f>
        <v>7.9636496960000001</v>
      </c>
      <c r="L68" s="119" t="s">
        <v>86</v>
      </c>
      <c r="M68" s="118">
        <f ca="1">IFERROR(__xludf.DUMMYFUNCTION("VALUE(IF(D68=""EUR"",C68,IF(D68=""USD"",GOOGLEFINANCE(CONCATENATE(L68,N68))*C68,IF(D68=E68,C68/GOOGLEFINANCE(CONCATENATE(N68,J68))))))"),8.093683109)</f>
        <v>8.0936831090000005</v>
      </c>
      <c r="N68" s="119" t="s">
        <v>85</v>
      </c>
    </row>
    <row r="69" spans="1:14" ht="13" x14ac:dyDescent="0.15">
      <c r="A69" s="86" t="s">
        <v>51</v>
      </c>
      <c r="B69" s="87" t="s">
        <v>140</v>
      </c>
      <c r="C69" s="120"/>
      <c r="D69" s="89"/>
      <c r="E69" s="89"/>
      <c r="F69" s="77"/>
      <c r="G69" s="86" t="s">
        <v>51</v>
      </c>
      <c r="H69" s="87" t="s">
        <v>140</v>
      </c>
      <c r="I69" s="113" t="str">
        <f ca="1">IFERROR(__xludf.DUMMYFUNCTION("IF(D69=E69,C69,GOOGLEFINANCE(CONCATENATE(D69,E69))*C69)"),"")</f>
        <v/>
      </c>
      <c r="J69" s="89"/>
      <c r="K69" s="114"/>
      <c r="L69" s="115"/>
      <c r="M69" s="114"/>
      <c r="N69" s="115"/>
    </row>
    <row r="70" spans="1:14" ht="13" x14ac:dyDescent="0.15">
      <c r="A70" s="73" t="s">
        <v>55</v>
      </c>
      <c r="B70" s="74" t="s">
        <v>142</v>
      </c>
      <c r="C70" s="116">
        <v>7.99</v>
      </c>
      <c r="D70" s="96" t="s">
        <v>85</v>
      </c>
      <c r="E70" s="76" t="s">
        <v>85</v>
      </c>
      <c r="F70" s="77"/>
      <c r="G70" s="73" t="s">
        <v>55</v>
      </c>
      <c r="H70" s="74" t="s">
        <v>142</v>
      </c>
      <c r="I70" s="117">
        <f ca="1">IFERROR(__xludf.DUMMYFUNCTION("IF(D70=E70,C70,GOOGLEFINANCE(CONCATENATE(D70,E70))*C70)"),7.99)</f>
        <v>7.99</v>
      </c>
      <c r="J70" s="79" t="s">
        <v>85</v>
      </c>
      <c r="K70" s="118">
        <f ca="1">IFERROR(__xludf.DUMMYFUNCTION("VALUE(IF(D70=""USD"",C70,IF(D70=""EUR"",C70/GOOGLEFINANCE(CONCATENATE(L70,N70)),IF(D70=E70,C70/GOOGLEFINANCE(CONCATENATE(L70,J70))))))"),7.861271676)</f>
        <v>7.8612716760000003</v>
      </c>
      <c r="L70" s="119" t="s">
        <v>86</v>
      </c>
      <c r="M70" s="118">
        <f ca="1">IFERROR(__xludf.DUMMYFUNCTION("VALUE(IF(D70=""EUR"",C70,IF(D70=""USD"",GOOGLEFINANCE(CONCATENATE(L70,N70))*C70,IF(D70=E70,C70/GOOGLEFINANCE(CONCATENATE(N70,J70))))))"),7.99)</f>
        <v>7.99</v>
      </c>
      <c r="N70" s="119" t="s">
        <v>85</v>
      </c>
    </row>
    <row r="71" spans="1:14" ht="13" x14ac:dyDescent="0.15">
      <c r="A71" s="86" t="s">
        <v>665</v>
      </c>
      <c r="B71" s="87" t="s">
        <v>666</v>
      </c>
      <c r="C71" s="120"/>
      <c r="D71" s="89"/>
      <c r="E71" s="89"/>
      <c r="F71" s="77"/>
      <c r="G71" s="86" t="s">
        <v>665</v>
      </c>
      <c r="H71" s="87" t="s">
        <v>666</v>
      </c>
      <c r="I71" s="113" t="str">
        <f ca="1">IFERROR(__xludf.DUMMYFUNCTION("IF(D71=E71,C71,GOOGLEFINANCE(CONCATENATE(D71,E71))*C71)"),"")</f>
        <v/>
      </c>
      <c r="J71" s="89"/>
      <c r="K71" s="114"/>
      <c r="L71" s="115"/>
      <c r="M71" s="114"/>
      <c r="N71" s="115"/>
    </row>
    <row r="72" spans="1:14" ht="13" x14ac:dyDescent="0.15">
      <c r="A72" s="86" t="s">
        <v>668</v>
      </c>
      <c r="B72" s="87" t="s">
        <v>394</v>
      </c>
      <c r="C72" s="120"/>
      <c r="D72" s="89"/>
      <c r="E72" s="89"/>
      <c r="F72" s="77"/>
      <c r="G72" s="86" t="s">
        <v>668</v>
      </c>
      <c r="H72" s="87" t="s">
        <v>394</v>
      </c>
      <c r="I72" s="113" t="str">
        <f ca="1">IFERROR(__xludf.DUMMYFUNCTION("IF(D72=E72,C72,GOOGLEFINANCE(CONCATENATE(D72,E72))*C72)"),"")</f>
        <v/>
      </c>
      <c r="J72" s="89"/>
      <c r="K72" s="114"/>
      <c r="L72" s="115"/>
      <c r="M72" s="114"/>
      <c r="N72" s="115"/>
    </row>
    <row r="73" spans="1:14" ht="13" x14ac:dyDescent="0.15">
      <c r="A73" s="73" t="s">
        <v>39</v>
      </c>
      <c r="B73" s="74" t="s">
        <v>143</v>
      </c>
      <c r="C73" s="116">
        <v>8.99</v>
      </c>
      <c r="D73" s="96" t="s">
        <v>85</v>
      </c>
      <c r="E73" s="76" t="s">
        <v>85</v>
      </c>
      <c r="F73" s="77"/>
      <c r="G73" s="73" t="s">
        <v>39</v>
      </c>
      <c r="H73" s="74" t="s">
        <v>143</v>
      </c>
      <c r="I73" s="117">
        <f ca="1">IFERROR(__xludf.DUMMYFUNCTION("IF(D73=E73,C73,GOOGLEFINANCE(CONCATENATE(D73,E73))*C73)"),8.99)</f>
        <v>8.99</v>
      </c>
      <c r="J73" s="79" t="s">
        <v>85</v>
      </c>
      <c r="K73" s="118">
        <f ca="1">IFERROR(__xludf.DUMMYFUNCTION("VALUE(IF(D73=""USD"",C73,IF(D73=""EUR"",C73/GOOGLEFINANCE(CONCATENATE(L73,N73)),IF(D73=E73,C73/GOOGLEFINANCE(CONCATENATE(L73,J73))))))"),8.845160497)</f>
        <v>8.8451604970000002</v>
      </c>
      <c r="L73" s="119" t="s">
        <v>86</v>
      </c>
      <c r="M73" s="118">
        <f ca="1">IFERROR(__xludf.DUMMYFUNCTION("VALUE(IF(D73=""EUR"",C73,IF(D73=""USD"",GOOGLEFINANCE(CONCATENATE(L73,N73))*C73,IF(D73=E73,C73/GOOGLEFINANCE(CONCATENATE(N73,J73))))))"),8.99)</f>
        <v>8.99</v>
      </c>
      <c r="N73" s="119" t="s">
        <v>85</v>
      </c>
    </row>
    <row r="74" spans="1:14" ht="13" x14ac:dyDescent="0.15">
      <c r="A74" s="73" t="s">
        <v>48</v>
      </c>
      <c r="B74" s="74" t="s">
        <v>144</v>
      </c>
      <c r="C74" s="116">
        <v>12.99</v>
      </c>
      <c r="D74" s="96" t="s">
        <v>145</v>
      </c>
      <c r="E74" s="76" t="s">
        <v>145</v>
      </c>
      <c r="F74" s="77"/>
      <c r="G74" s="73" t="s">
        <v>48</v>
      </c>
      <c r="H74" s="74" t="s">
        <v>144</v>
      </c>
      <c r="I74" s="117">
        <f ca="1">IFERROR(__xludf.DUMMYFUNCTION("IF(D74=E74,C74,GOOGLEFINANCE(CONCATENATE(D74,E74))*C74)"),12.99)</f>
        <v>12.99</v>
      </c>
      <c r="J74" s="79" t="s">
        <v>145</v>
      </c>
      <c r="K74" s="118">
        <f ca="1">IFERROR(__xludf.DUMMYFUNCTION("VALUE(IF(D74=""USD"",C74,IF(D74=""EUR"",C74/GOOGLEFINANCE(CONCATENATE(L74,N74)),IF(D74=E74,C74/GOOGLEFINANCE(CONCATENATE(L74,J74))))))"),7.432030392)</f>
        <v>7.4320303919999997</v>
      </c>
      <c r="L74" s="119" t="s">
        <v>86</v>
      </c>
      <c r="M74" s="118">
        <f ca="1">IFERROR(__xludf.DUMMYFUNCTION("VALUE(IF(D74=""EUR"",C74,IF(D74=""USD"",GOOGLEFINANCE(CONCATENATE(L74,N74))*C74,IF(D74=E74,C74/GOOGLEFINANCE(CONCATENATE(N74,J74))))))"),7.553687002)</f>
        <v>7.5536870020000002</v>
      </c>
      <c r="N74" s="119" t="s">
        <v>85</v>
      </c>
    </row>
    <row r="75" spans="1:14" ht="13" x14ac:dyDescent="0.15">
      <c r="A75" s="73" t="s">
        <v>672</v>
      </c>
      <c r="B75" s="74" t="s">
        <v>673</v>
      </c>
      <c r="C75" s="116">
        <v>5.99</v>
      </c>
      <c r="D75" s="96" t="s">
        <v>86</v>
      </c>
      <c r="E75" s="76" t="s">
        <v>399</v>
      </c>
      <c r="F75" s="77"/>
      <c r="G75" s="73" t="s">
        <v>672</v>
      </c>
      <c r="H75" s="74" t="s">
        <v>673</v>
      </c>
      <c r="I75" s="117">
        <f ca="1">IFERROR(__xludf.DUMMYFUNCTION("IF(D75=E75,C75,GOOGLEFINANCE(CONCATENATE(D75,E75))*C75)"),213.3816502)</f>
        <v>213.3816502</v>
      </c>
      <c r="J75" s="85" t="s">
        <v>399</v>
      </c>
      <c r="K75" s="118">
        <f ca="1">IFERROR(__xludf.DUMMYFUNCTION("VALUE(IF(D75=""USD"",C75,IF(D75=""EUR"",C75/GOOGLEFINANCE(CONCATENATE(L75,N75)),IF(D75=E75,C75/GOOGLEFINANCE(CONCATENATE(L75,J75))))))"),5.99)</f>
        <v>5.99</v>
      </c>
      <c r="L75" s="119" t="s">
        <v>86</v>
      </c>
      <c r="M75" s="118">
        <f ca="1">IFERROR(__xludf.DUMMYFUNCTION("VALUE(IF(D75=""EUR"",C75,IF(D75=""USD"",GOOGLEFINANCE(CONCATENATE(L75,N75))*C75,IF(D75=E75,C75/GOOGLEFINANCE(CONCATENATE(N75,J75))))))"),6.08808625)</f>
        <v>6.0880862499999999</v>
      </c>
      <c r="N75" s="119" t="s">
        <v>85</v>
      </c>
    </row>
    <row r="76" spans="1:14" ht="13" x14ac:dyDescent="0.15">
      <c r="A76" s="86" t="s">
        <v>66</v>
      </c>
      <c r="B76" s="87" t="s">
        <v>146</v>
      </c>
      <c r="C76" s="120"/>
      <c r="D76" s="89"/>
      <c r="E76" s="89"/>
      <c r="F76" s="77"/>
      <c r="G76" s="86" t="s">
        <v>66</v>
      </c>
      <c r="H76" s="87" t="s">
        <v>146</v>
      </c>
      <c r="I76" s="113" t="str">
        <f ca="1">IFERROR(__xludf.DUMMYFUNCTION("IF(D76=E76,C76,GOOGLEFINANCE(CONCATENATE(D76,E76))*C76)"),"")</f>
        <v/>
      </c>
      <c r="J76" s="89"/>
      <c r="K76" s="114"/>
      <c r="L76" s="115"/>
      <c r="M76" s="114"/>
      <c r="N76" s="115"/>
    </row>
    <row r="77" spans="1:14" ht="13" x14ac:dyDescent="0.15">
      <c r="A77" s="73" t="s">
        <v>56</v>
      </c>
      <c r="B77" s="74" t="s">
        <v>148</v>
      </c>
      <c r="C77" s="116">
        <v>7.99</v>
      </c>
      <c r="D77" s="96" t="s">
        <v>85</v>
      </c>
      <c r="E77" s="76" t="s">
        <v>149</v>
      </c>
      <c r="F77" s="77"/>
      <c r="G77" s="73" t="s">
        <v>56</v>
      </c>
      <c r="H77" s="74" t="s">
        <v>148</v>
      </c>
      <c r="I77" s="117">
        <f ca="1">IFERROR(__xludf.DUMMYFUNCTION("IF(D77=E77,C77,GOOGLEFINANCE(CONCATENATE(D77,E77))*C77)"),492.0163620497)</f>
        <v>492.01636204969998</v>
      </c>
      <c r="J77" s="85" t="s">
        <v>149</v>
      </c>
      <c r="K77" s="118">
        <f ca="1">IFERROR(__xludf.DUMMYFUNCTION("VALUE(IF(D77=""USD"",C77,IF(D77=""EUR"",C77/GOOGLEFINANCE(CONCATENATE(L77,N77)),IF(D77=E77,C77/GOOGLEFINANCE(CONCATENATE(L77,J77))))))"),7.861271676)</f>
        <v>7.8612716760000003</v>
      </c>
      <c r="L77" s="119" t="s">
        <v>86</v>
      </c>
      <c r="M77" s="118">
        <f ca="1">IFERROR(__xludf.DUMMYFUNCTION("VALUE(IF(D77=""EUR"",C77,IF(D77=""USD"",GOOGLEFINANCE(CONCATENATE(L77,N77))*C77,IF(D77=E77,C77/GOOGLEFINANCE(CONCATENATE(N77,J77))))))"),7.99)</f>
        <v>7.99</v>
      </c>
      <c r="N77" s="119" t="s">
        <v>85</v>
      </c>
    </row>
    <row r="78" spans="1:14" ht="13" x14ac:dyDescent="0.15">
      <c r="A78" s="73" t="s">
        <v>35</v>
      </c>
      <c r="B78" s="74" t="s">
        <v>150</v>
      </c>
      <c r="C78" s="116">
        <v>89</v>
      </c>
      <c r="D78" s="96" t="s">
        <v>151</v>
      </c>
      <c r="E78" s="76" t="s">
        <v>151</v>
      </c>
      <c r="F78" s="77"/>
      <c r="G78" s="73" t="s">
        <v>35</v>
      </c>
      <c r="H78" s="74" t="s">
        <v>150</v>
      </c>
      <c r="I78" s="117">
        <f ca="1">IFERROR(__xludf.DUMMYFUNCTION("IF(D78=E78,C78,GOOGLEFINANCE(CONCATENATE(D78,E78))*C78)"),89)</f>
        <v>89</v>
      </c>
      <c r="J78" s="79" t="s">
        <v>151</v>
      </c>
      <c r="K78" s="118">
        <f ca="1">IFERROR(__xludf.DUMMYFUNCTION("VALUE(IF(D78=""USD"",C78,IF(D78=""EUR"",C78/GOOGLEFINANCE(CONCATENATE(L78,N78)),IF(D78=E78,C78/GOOGLEFINANCE(CONCATENATE(L78,J78))))))"),8.411223786)</f>
        <v>8.4112237860000008</v>
      </c>
      <c r="L78" s="119" t="s">
        <v>86</v>
      </c>
      <c r="M78" s="118">
        <f ca="1">IFERROR(__xludf.DUMMYFUNCTION("VALUE(IF(D78=""EUR"",C78,IF(D78=""USD"",GOOGLEFINANCE(CONCATENATE(L78,N78))*C78,IF(D78=E78,C78/GOOGLEFINANCE(CONCATENATE(N78,J78))))))"),8.545859579)</f>
        <v>8.545859579</v>
      </c>
      <c r="N78" s="119" t="s">
        <v>85</v>
      </c>
    </row>
    <row r="79" spans="1:14" ht="13" x14ac:dyDescent="0.15">
      <c r="A79" s="86" t="s">
        <v>680</v>
      </c>
      <c r="B79" s="87" t="s">
        <v>410</v>
      </c>
      <c r="C79" s="120"/>
      <c r="D79" s="89"/>
      <c r="E79" s="89"/>
      <c r="F79" s="77"/>
      <c r="G79" s="86" t="s">
        <v>680</v>
      </c>
      <c r="H79" s="87" t="s">
        <v>410</v>
      </c>
      <c r="I79" s="113" t="str">
        <f ca="1">IFERROR(__xludf.DUMMYFUNCTION("IF(D79=E79,C79,GOOGLEFINANCE(CONCATENATE(D79,E79))*C79)"),"")</f>
        <v/>
      </c>
      <c r="J79" s="89"/>
      <c r="K79" s="114"/>
      <c r="L79" s="115"/>
      <c r="M79" s="114"/>
      <c r="N79" s="115"/>
    </row>
    <row r="80" spans="1:14" ht="13" x14ac:dyDescent="0.15">
      <c r="A80" s="86" t="s">
        <v>74</v>
      </c>
      <c r="B80" s="87" t="s">
        <v>152</v>
      </c>
      <c r="C80" s="120"/>
      <c r="D80" s="89"/>
      <c r="E80" s="89"/>
      <c r="F80" s="77"/>
      <c r="G80" s="86" t="s">
        <v>74</v>
      </c>
      <c r="H80" s="87" t="s">
        <v>152</v>
      </c>
      <c r="I80" s="113" t="str">
        <f ca="1">IFERROR(__xludf.DUMMYFUNCTION("IF(D80=E80,C80,GOOGLEFINANCE(CONCATENATE(D80,E80))*C80)"),"")</f>
        <v/>
      </c>
      <c r="J80" s="89"/>
      <c r="K80" s="114"/>
      <c r="L80" s="115"/>
      <c r="M80" s="114"/>
      <c r="N80" s="115"/>
    </row>
    <row r="81" spans="1:14" ht="13" x14ac:dyDescent="0.15">
      <c r="A81" s="73" t="s">
        <v>684</v>
      </c>
      <c r="B81" s="74" t="s">
        <v>413</v>
      </c>
      <c r="C81" s="116">
        <v>5.99</v>
      </c>
      <c r="D81" s="96" t="s">
        <v>86</v>
      </c>
      <c r="E81" s="76" t="s">
        <v>414</v>
      </c>
      <c r="F81" s="77"/>
      <c r="G81" s="73" t="s">
        <v>684</v>
      </c>
      <c r="H81" s="74" t="s">
        <v>413</v>
      </c>
      <c r="I81" s="117">
        <f ca="1">IFERROR(__xludf.DUMMYFUNCTION("IF(D81=E81,C81,GOOGLEFINANCE(CONCATENATE(D81,E81))*C81)"),5.931686751)</f>
        <v>5.931686751</v>
      </c>
      <c r="J81" s="85" t="s">
        <v>414</v>
      </c>
      <c r="K81" s="118">
        <f ca="1">IFERROR(__xludf.DUMMYFUNCTION("VALUE(IF(D81=""USD"",C81,IF(D81=""EUR"",C81/GOOGLEFINANCE(CONCATENATE(L81,N81)),IF(D81=E81,C81/GOOGLEFINANCE(CONCATENATE(L81,J81))))))"),5.99)</f>
        <v>5.99</v>
      </c>
      <c r="L81" s="119" t="s">
        <v>86</v>
      </c>
      <c r="M81" s="118">
        <f ca="1">IFERROR(__xludf.DUMMYFUNCTION("VALUE(IF(D81=""EUR"",C81,IF(D81=""USD"",GOOGLEFINANCE(CONCATENATE(L81,N81))*C81,IF(D81=E81,C81/GOOGLEFINANCE(CONCATENATE(N81,J81))))))"),6.08808625)</f>
        <v>6.0880862499999999</v>
      </c>
      <c r="N81" s="119" t="s">
        <v>85</v>
      </c>
    </row>
    <row r="82" spans="1:14" ht="13" x14ac:dyDescent="0.15">
      <c r="A82" s="73" t="s">
        <v>702</v>
      </c>
      <c r="B82" s="74" t="s">
        <v>703</v>
      </c>
      <c r="C82" s="116">
        <v>6.99</v>
      </c>
      <c r="D82" s="96" t="s">
        <v>86</v>
      </c>
      <c r="E82" s="76" t="s">
        <v>427</v>
      </c>
      <c r="F82" s="77"/>
      <c r="G82" s="73" t="s">
        <v>702</v>
      </c>
      <c r="H82" s="74" t="s">
        <v>703</v>
      </c>
      <c r="I82" s="117">
        <f ca="1">IFERROR(__xludf.DUMMYFUNCTION("IF(D82=E82,C82,GOOGLEFINANCE(CONCATENATE(D82,E82))*C82)"),50022.14556)</f>
        <v>50022.145559999997</v>
      </c>
      <c r="J82" s="85" t="s">
        <v>427</v>
      </c>
      <c r="K82" s="118">
        <f ca="1">IFERROR(__xludf.DUMMYFUNCTION("VALUE(IF(D82=""USD"",C82,IF(D82=""EUR"",C82/GOOGLEFINANCE(CONCATENATE(L82,N82)),IF(D82=E82,C82/GOOGLEFINANCE(CONCATENATE(L82,J82))))))"),6.99)</f>
        <v>6.99</v>
      </c>
      <c r="L82" s="119" t="s">
        <v>86</v>
      </c>
      <c r="M82" s="118">
        <f ca="1">IFERROR(__xludf.DUMMYFUNCTION("VALUE(IF(D82=""EUR"",C82,IF(D82=""USD"",GOOGLEFINANCE(CONCATENATE(L82,N82))*C82,IF(D82=E82,C82/GOOGLEFINANCE(CONCATENATE(N82,J82))))))"),7.10446125)</f>
        <v>7.1044612499999999</v>
      </c>
      <c r="N82" s="119" t="s">
        <v>85</v>
      </c>
    </row>
    <row r="83" spans="1:14" ht="13" x14ac:dyDescent="0.15">
      <c r="A83" s="73" t="s">
        <v>63</v>
      </c>
      <c r="B83" s="74" t="s">
        <v>154</v>
      </c>
      <c r="C83" s="116">
        <v>25.9</v>
      </c>
      <c r="D83" s="96" t="s">
        <v>155</v>
      </c>
      <c r="E83" s="76" t="s">
        <v>155</v>
      </c>
      <c r="F83" s="77"/>
      <c r="G83" s="73" t="s">
        <v>63</v>
      </c>
      <c r="H83" s="74" t="s">
        <v>154</v>
      </c>
      <c r="I83" s="117">
        <f ca="1">IFERROR(__xludf.DUMMYFUNCTION("IF(D83=E83,C83,GOOGLEFINANCE(CONCATENATE(D83,E83))*C83)"),25.9)</f>
        <v>25.9</v>
      </c>
      <c r="J83" s="79" t="s">
        <v>155</v>
      </c>
      <c r="K83" s="118">
        <f ca="1">IFERROR(__xludf.DUMMYFUNCTION("VALUE(IF(D83=""USD"",C83,IF(D83=""EUR"",C83/GOOGLEFINANCE(CONCATENATE(L83,N83)),IF(D83=E83,C83/GOOGLEFINANCE(CONCATENATE(L83,J83))))))"),6.560694147)</f>
        <v>6.5606941470000004</v>
      </c>
      <c r="L83" s="119" t="s">
        <v>86</v>
      </c>
      <c r="M83" s="118">
        <f ca="1">IFERROR(__xludf.DUMMYFUNCTION("VALUE(IF(D83=""EUR"",C83,IF(D83=""USD"",GOOGLEFINANCE(CONCATENATE(L83,N83))*C83,IF(D83=E83,C83/GOOGLEFINANCE(CONCATENATE(N83,J83))))))"),6.667778674)</f>
        <v>6.667778674</v>
      </c>
      <c r="N83" s="119" t="s">
        <v>85</v>
      </c>
    </row>
    <row r="84" spans="1:14" ht="13" x14ac:dyDescent="0.15">
      <c r="A84" s="86" t="s">
        <v>81</v>
      </c>
      <c r="B84" s="87" t="s">
        <v>156</v>
      </c>
      <c r="C84" s="120"/>
      <c r="D84" s="89"/>
      <c r="E84" s="89"/>
      <c r="F84" s="77"/>
      <c r="G84" s="86" t="s">
        <v>81</v>
      </c>
      <c r="H84" s="87" t="s">
        <v>156</v>
      </c>
      <c r="I84" s="113" t="str">
        <f ca="1">IFERROR(__xludf.DUMMYFUNCTION("IF(D84=E84,C84,GOOGLEFINANCE(CONCATENATE(D84,E84))*C84)"),"")</f>
        <v/>
      </c>
      <c r="J84" s="89"/>
      <c r="K84" s="114"/>
      <c r="L84" s="115"/>
      <c r="M84" s="114"/>
      <c r="N84" s="115"/>
    </row>
    <row r="85" spans="1:14" ht="13" x14ac:dyDescent="0.15">
      <c r="A85" s="73" t="s">
        <v>70</v>
      </c>
      <c r="B85" s="74" t="s">
        <v>158</v>
      </c>
      <c r="C85" s="116">
        <v>28.99</v>
      </c>
      <c r="D85" s="96" t="s">
        <v>159</v>
      </c>
      <c r="E85" s="76" t="s">
        <v>159</v>
      </c>
      <c r="F85" s="77"/>
      <c r="G85" s="73" t="s">
        <v>70</v>
      </c>
      <c r="H85" s="74" t="s">
        <v>158</v>
      </c>
      <c r="I85" s="117">
        <f ca="1">IFERROR(__xludf.DUMMYFUNCTION("IF(D85=E85,C85,GOOGLEFINANCE(CONCATENATE(D85,E85))*C85)"),28.99)</f>
        <v>28.99</v>
      </c>
      <c r="J85" s="79" t="s">
        <v>159</v>
      </c>
      <c r="K85" s="118">
        <f ca="1">IFERROR(__xludf.DUMMYFUNCTION("VALUE(IF(D85=""USD"",C85,IF(D85=""EUR"",C85/GOOGLEFINANCE(CONCATENATE(L85,N85)),IF(D85=E85,C85/GOOGLEFINANCE(CONCATENATE(L85,J85))))))"),5.970057044)</f>
        <v>5.9700570439999998</v>
      </c>
      <c r="L85" s="119" t="s">
        <v>86</v>
      </c>
      <c r="M85" s="118">
        <f ca="1">IFERROR(__xludf.DUMMYFUNCTION("VALUE(IF(D85=""EUR"",C85,IF(D85=""USD"",GOOGLEFINANCE(CONCATENATE(L85,N85))*C85,IF(D85=E85,C85/GOOGLEFINANCE(CONCATENATE(N85,J85))))))"),6.067836698)</f>
        <v>6.0678366979999998</v>
      </c>
      <c r="N85" s="119" t="s">
        <v>85</v>
      </c>
    </row>
    <row r="86" spans="1:14" ht="13" x14ac:dyDescent="0.15">
      <c r="A86" s="73" t="s">
        <v>45</v>
      </c>
      <c r="B86" s="74" t="s">
        <v>160</v>
      </c>
      <c r="C86" s="116">
        <v>8.99</v>
      </c>
      <c r="D86" s="96" t="s">
        <v>85</v>
      </c>
      <c r="E86" s="76" t="s">
        <v>85</v>
      </c>
      <c r="F86" s="77"/>
      <c r="G86" s="73" t="s">
        <v>45</v>
      </c>
      <c r="H86" s="74" t="s">
        <v>160</v>
      </c>
      <c r="I86" s="117">
        <f ca="1">IFERROR(__xludf.DUMMYFUNCTION("IF(D86=E86,C86,GOOGLEFINANCE(CONCATENATE(D86,E86))*C86)"),8.99)</f>
        <v>8.99</v>
      </c>
      <c r="J86" s="79" t="s">
        <v>85</v>
      </c>
      <c r="K86" s="118">
        <f ca="1">IFERROR(__xludf.DUMMYFUNCTION("VALUE(IF(D86=""USD"",C86,IF(D86=""EUR"",C86/GOOGLEFINANCE(CONCATENATE(L86,N86)),IF(D86=E86,C86/GOOGLEFINANCE(CONCATENATE(L86,J86))))))"),8.845160497)</f>
        <v>8.8451604970000002</v>
      </c>
      <c r="L86" s="119" t="s">
        <v>86</v>
      </c>
      <c r="M86" s="118">
        <f ca="1">IFERROR(__xludf.DUMMYFUNCTION("VALUE(IF(D86=""EUR"",C86,IF(D86=""USD"",GOOGLEFINANCE(CONCATENATE(L86,N86))*C86,IF(D86=E86,C86/GOOGLEFINANCE(CONCATENATE(N86,J86))))))"),8.99)</f>
        <v>8.99</v>
      </c>
      <c r="N86" s="119" t="s">
        <v>85</v>
      </c>
    </row>
    <row r="87" spans="1:14" ht="13" x14ac:dyDescent="0.15">
      <c r="A87" s="73" t="s">
        <v>697</v>
      </c>
      <c r="B87" s="74" t="s">
        <v>698</v>
      </c>
      <c r="C87" s="116">
        <v>6.99</v>
      </c>
      <c r="D87" s="96" t="s">
        <v>86</v>
      </c>
      <c r="E87" s="76" t="s">
        <v>86</v>
      </c>
      <c r="F87" s="77"/>
      <c r="G87" s="73" t="s">
        <v>697</v>
      </c>
      <c r="H87" s="74" t="s">
        <v>698</v>
      </c>
      <c r="I87" s="117">
        <f ca="1">IFERROR(__xludf.DUMMYFUNCTION("IF(D87=E87,C87,GOOGLEFINANCE(CONCATENATE(D87,E87))*C87)"),6.99)</f>
        <v>6.99</v>
      </c>
      <c r="J87" s="79" t="s">
        <v>86</v>
      </c>
      <c r="K87" s="118">
        <f ca="1">IFERROR(__xludf.DUMMYFUNCTION("VALUE(IF(D87=""USD"",C87,IF(D87=""EUR"",C87/GOOGLEFINANCE(CONCATENATE(L87,N87)),IF(D87=E87,C87/GOOGLEFINANCE(CONCATENATE(L87,J87))))))"),6.99)</f>
        <v>6.99</v>
      </c>
      <c r="L87" s="119" t="s">
        <v>86</v>
      </c>
      <c r="M87" s="118">
        <f ca="1">IFERROR(__xludf.DUMMYFUNCTION("VALUE(IF(D87=""EUR"",C87,IF(D87=""USD"",GOOGLEFINANCE(CONCATENATE(L87,N87))*C87,IF(D87=E87,C87/GOOGLEFINANCE(CONCATENATE(N87,J87))))))"),7.10446125)</f>
        <v>7.1044612499999999</v>
      </c>
      <c r="N87" s="119" t="s">
        <v>85</v>
      </c>
    </row>
    <row r="88" spans="1:14" ht="13" x14ac:dyDescent="0.15">
      <c r="A88" s="73" t="s">
        <v>707</v>
      </c>
      <c r="B88" s="74" t="s">
        <v>708</v>
      </c>
      <c r="C88" s="116">
        <v>29.99</v>
      </c>
      <c r="D88" s="96" t="s">
        <v>430</v>
      </c>
      <c r="E88" s="76" t="s">
        <v>430</v>
      </c>
      <c r="F88" s="77"/>
      <c r="G88" s="73" t="s">
        <v>707</v>
      </c>
      <c r="H88" s="74" t="s">
        <v>708</v>
      </c>
      <c r="I88" s="117">
        <f ca="1">IFERROR(__xludf.DUMMYFUNCTION("IF(D88=E88,C88,GOOGLEFINANCE(CONCATENATE(D88,E88))*C88)"),29.99)</f>
        <v>29.99</v>
      </c>
      <c r="J88" s="79" t="s">
        <v>430</v>
      </c>
      <c r="K88" s="118">
        <f ca="1">IFERROR(__xludf.DUMMYFUNCTION("VALUE(IF(D88=""USD"",C88,IF(D88=""EUR"",C88/GOOGLEFINANCE(CONCATENATE(L88,N88)),IF(D88=E88,C88/GOOGLEFINANCE(CONCATENATE(L88,J88))))))"),8.23731374)</f>
        <v>8.2373137399999994</v>
      </c>
      <c r="L88" s="119" t="s">
        <v>86</v>
      </c>
      <c r="M88" s="118">
        <f ca="1">IFERROR(__xludf.DUMMYFUNCTION("VALUE(IF(D88=""EUR"",C88,IF(D88=""USD"",GOOGLEFINANCE(CONCATENATE(L88,N88))*C88,IF(D88=E88,C88/GOOGLEFINANCE(CONCATENATE(N88,J88))))))"),8.371764275)</f>
        <v>8.3717642750000003</v>
      </c>
      <c r="N88" s="119" t="s">
        <v>85</v>
      </c>
    </row>
    <row r="89" spans="1:14" ht="13" x14ac:dyDescent="0.15">
      <c r="A89" s="73" t="s">
        <v>64</v>
      </c>
      <c r="B89" s="74" t="s">
        <v>161</v>
      </c>
      <c r="C89" s="116">
        <v>29.99</v>
      </c>
      <c r="D89" s="96" t="s">
        <v>162</v>
      </c>
      <c r="E89" s="76" t="s">
        <v>162</v>
      </c>
      <c r="F89" s="77"/>
      <c r="G89" s="73" t="s">
        <v>64</v>
      </c>
      <c r="H89" s="74" t="s">
        <v>161</v>
      </c>
      <c r="I89" s="117">
        <f ca="1">IFERROR(__xludf.DUMMYFUNCTION("IF(D89=E89,C89,GOOGLEFINANCE(CONCATENATE(D89,E89))*C89)"),29.99)</f>
        <v>29.99</v>
      </c>
      <c r="J89" s="79" t="s">
        <v>162</v>
      </c>
      <c r="K89" s="118">
        <f ca="1">IFERROR(__xludf.DUMMYFUNCTION("VALUE(IF(D89=""USD"",C89,IF(D89=""EUR"",C89/GOOGLEFINANCE(CONCATENATE(L89,N89)),IF(D89=E89,C89/GOOGLEFINANCE(CONCATENATE(L89,J89))))))"),6.005512897)</f>
        <v>6.005512897</v>
      </c>
      <c r="L89" s="119" t="s">
        <v>86</v>
      </c>
      <c r="M89" s="118">
        <f ca="1">IFERROR(__xludf.DUMMYFUNCTION("VALUE(IF(D89=""EUR"",C89,IF(D89=""USD"",GOOGLEFINANCE(CONCATENATE(L89,N89))*C89,IF(D89=E89,C89/GOOGLEFINANCE(CONCATENATE(N89,J89))))))"),6.099920005)</f>
        <v>6.0999200050000004</v>
      </c>
      <c r="N89" s="119" t="s">
        <v>85</v>
      </c>
    </row>
    <row r="90" spans="1:14" ht="13" x14ac:dyDescent="0.15">
      <c r="A90" s="86" t="s">
        <v>709</v>
      </c>
      <c r="B90" s="87" t="s">
        <v>710</v>
      </c>
      <c r="C90" s="120"/>
      <c r="D90" s="89"/>
      <c r="E90" s="89"/>
      <c r="F90" s="77"/>
      <c r="G90" s="86" t="s">
        <v>709</v>
      </c>
      <c r="H90" s="87" t="s">
        <v>710</v>
      </c>
      <c r="I90" s="113" t="str">
        <f ca="1">IFERROR(__xludf.DUMMYFUNCTION("IF(D90=E90,C90,GOOGLEFINANCE(CONCATENATE(D90,E90))*C90)"),"")</f>
        <v/>
      </c>
      <c r="J90" s="89"/>
      <c r="K90" s="114"/>
      <c r="L90" s="115"/>
      <c r="M90" s="114"/>
      <c r="N90" s="115"/>
    </row>
    <row r="91" spans="1:14" ht="13" x14ac:dyDescent="0.15">
      <c r="A91" s="86" t="s">
        <v>712</v>
      </c>
      <c r="B91" s="87" t="s">
        <v>438</v>
      </c>
      <c r="C91" s="120"/>
      <c r="D91" s="89"/>
      <c r="E91" s="89"/>
      <c r="F91" s="77"/>
      <c r="G91" s="86" t="s">
        <v>712</v>
      </c>
      <c r="H91" s="87" t="s">
        <v>438</v>
      </c>
      <c r="I91" s="113" t="str">
        <f ca="1">IFERROR(__xludf.DUMMYFUNCTION("IF(D91=E91,C91,GOOGLEFINANCE(CONCATENATE(D91,E91))*C91)"),"")</f>
        <v/>
      </c>
      <c r="J91" s="89"/>
      <c r="K91" s="114"/>
      <c r="L91" s="115"/>
      <c r="M91" s="114"/>
      <c r="N91" s="115"/>
    </row>
    <row r="92" spans="1:14" ht="13" x14ac:dyDescent="0.15">
      <c r="A92" s="73" t="s">
        <v>59</v>
      </c>
      <c r="B92" s="74" t="s">
        <v>163</v>
      </c>
      <c r="C92" s="116">
        <v>29.99</v>
      </c>
      <c r="D92" s="96" t="s">
        <v>164</v>
      </c>
      <c r="E92" s="76" t="s">
        <v>164</v>
      </c>
      <c r="F92" s="77"/>
      <c r="G92" s="73" t="s">
        <v>59</v>
      </c>
      <c r="H92" s="74" t="s">
        <v>163</v>
      </c>
      <c r="I92" s="117">
        <f ca="1">IFERROR(__xludf.DUMMYFUNCTION("IF(D92=E92,C92,GOOGLEFINANCE(CONCATENATE(D92,E92))*C92)"),29.99)</f>
        <v>29.99</v>
      </c>
      <c r="J92" s="79" t="s">
        <v>164</v>
      </c>
      <c r="K92" s="118">
        <f ca="1">IFERROR(__xludf.DUMMYFUNCTION("VALUE(IF(D92=""USD"",C92,IF(D92=""EUR"",C92/GOOGLEFINANCE(CONCATENATE(L92,N92)),IF(D92=E92,C92/GOOGLEFINANCE(CONCATENATE(L92,J92))))))"),7.97873331)</f>
        <v>7.97873331</v>
      </c>
      <c r="L92" s="119" t="s">
        <v>86</v>
      </c>
      <c r="M92" s="118">
        <f ca="1">IFERROR(__xludf.DUMMYFUNCTION("VALUE(IF(D92=""EUR"",C92,IF(D92=""USD"",GOOGLEFINANCE(CONCATENATE(L92,N92))*C92,IF(D92=E92,C92/GOOGLEFINANCE(CONCATENATE(N92,J92))))))"),8.108963261)</f>
        <v>8.1089632609999995</v>
      </c>
      <c r="N92" s="119" t="s">
        <v>85</v>
      </c>
    </row>
    <row r="93" spans="1:14" ht="13" x14ac:dyDescent="0.15">
      <c r="A93" s="73" t="s">
        <v>50</v>
      </c>
      <c r="B93" s="74" t="s">
        <v>165</v>
      </c>
      <c r="C93" s="116">
        <v>7.99</v>
      </c>
      <c r="D93" s="96" t="s">
        <v>85</v>
      </c>
      <c r="E93" s="76" t="s">
        <v>166</v>
      </c>
      <c r="F93" s="77"/>
      <c r="G93" s="73" t="s">
        <v>50</v>
      </c>
      <c r="H93" s="74" t="s">
        <v>165</v>
      </c>
      <c r="I93" s="117">
        <f ca="1">IFERROR(__xludf.DUMMYFUNCTION("IF(D93=E93,C93,GOOGLEFINANCE(CONCATENATE(D93,E93))*C93)"),937.03524)</f>
        <v>937.03524000000004</v>
      </c>
      <c r="J93" s="85" t="s">
        <v>166</v>
      </c>
      <c r="K93" s="118">
        <f ca="1">IFERROR(__xludf.DUMMYFUNCTION("VALUE(IF(D93=""USD"",C93,IF(D93=""EUR"",C93/GOOGLEFINANCE(CONCATENATE(L93,N93)),IF(D93=E93,C93/GOOGLEFINANCE(CONCATENATE(L93,J93))))))"),7.861271676)</f>
        <v>7.8612716760000003</v>
      </c>
      <c r="L93" s="119" t="s">
        <v>86</v>
      </c>
      <c r="M93" s="118">
        <f ca="1">IFERROR(__xludf.DUMMYFUNCTION("VALUE(IF(D93=""EUR"",C93,IF(D93=""USD"",GOOGLEFINANCE(CONCATENATE(L93,N93))*C93,IF(D93=E93,C93/GOOGLEFINANCE(CONCATENATE(N93,J93))))))"),7.99)</f>
        <v>7.99</v>
      </c>
      <c r="N93" s="119" t="s">
        <v>85</v>
      </c>
    </row>
    <row r="94" spans="1:14" ht="13" x14ac:dyDescent="0.15">
      <c r="A94" s="73" t="s">
        <v>61</v>
      </c>
      <c r="B94" s="74" t="s">
        <v>167</v>
      </c>
      <c r="C94" s="116">
        <v>11.98</v>
      </c>
      <c r="D94" s="96" t="s">
        <v>168</v>
      </c>
      <c r="E94" s="76" t="s">
        <v>168</v>
      </c>
      <c r="F94" s="77"/>
      <c r="G94" s="73" t="s">
        <v>61</v>
      </c>
      <c r="H94" s="74" t="s">
        <v>167</v>
      </c>
      <c r="I94" s="117">
        <f ca="1">IFERROR(__xludf.DUMMYFUNCTION("IF(D94=E94,C94,GOOGLEFINANCE(CONCATENATE(D94,E94))*C94)"),11.98)</f>
        <v>11.98</v>
      </c>
      <c r="J94" s="79" t="s">
        <v>168</v>
      </c>
      <c r="K94" s="118">
        <f ca="1">IFERROR(__xludf.DUMMYFUNCTION("VALUE(IF(D94=""USD"",C94,IF(D94=""EUR"",C94/GOOGLEFINANCE(CONCATENATE(L94,N94)),IF(D94=E94,C94/GOOGLEFINANCE(CONCATENATE(L94,J94))))))"),8.43246287)</f>
        <v>8.4324628700000002</v>
      </c>
      <c r="L94" s="119" t="s">
        <v>86</v>
      </c>
      <c r="M94" s="118">
        <f ca="1">IFERROR(__xludf.DUMMYFUNCTION("VALUE(IF(D94=""EUR"",C94,IF(D94=""USD"",GOOGLEFINANCE(CONCATENATE(L94,N94))*C94,IF(D94=E94,C94/GOOGLEFINANCE(CONCATENATE(N94,J94))))))"),8.570580303)</f>
        <v>8.5705803029999998</v>
      </c>
      <c r="N94" s="119" t="s">
        <v>85</v>
      </c>
    </row>
    <row r="95" spans="1:14" ht="13" x14ac:dyDescent="0.15">
      <c r="A95" s="73" t="s">
        <v>47</v>
      </c>
      <c r="B95" s="74" t="s">
        <v>169</v>
      </c>
      <c r="C95" s="116">
        <v>7.99</v>
      </c>
      <c r="D95" s="96" t="s">
        <v>85</v>
      </c>
      <c r="E95" s="76" t="s">
        <v>85</v>
      </c>
      <c r="F95" s="77"/>
      <c r="G95" s="73" t="s">
        <v>47</v>
      </c>
      <c r="H95" s="74" t="s">
        <v>169</v>
      </c>
      <c r="I95" s="117">
        <f ca="1">IFERROR(__xludf.DUMMYFUNCTION("IF(D95=E95,C95,GOOGLEFINANCE(CONCATENATE(D95,E95))*C95)"),7.99)</f>
        <v>7.99</v>
      </c>
      <c r="J95" s="79" t="s">
        <v>85</v>
      </c>
      <c r="K95" s="118">
        <f ca="1">IFERROR(__xludf.DUMMYFUNCTION("VALUE(IF(D95=""USD"",C95,IF(D95=""EUR"",C95/GOOGLEFINANCE(CONCATENATE(L95,N95)),IF(D95=E95,C95/GOOGLEFINANCE(CONCATENATE(L95,J95))))))"),7.861271676)</f>
        <v>7.8612716760000003</v>
      </c>
      <c r="L95" s="119" t="s">
        <v>86</v>
      </c>
      <c r="M95" s="118">
        <f ca="1">IFERROR(__xludf.DUMMYFUNCTION("VALUE(IF(D95=""EUR"",C95,IF(D95=""USD"",GOOGLEFINANCE(CONCATENATE(L95,N95))*C95,IF(D95=E95,C95/GOOGLEFINANCE(CONCATENATE(N95,J95))))))"),7.99)</f>
        <v>7.99</v>
      </c>
      <c r="N95" s="119" t="s">
        <v>85</v>
      </c>
    </row>
    <row r="96" spans="1:14" ht="13" x14ac:dyDescent="0.15">
      <c r="A96" s="73" t="s">
        <v>721</v>
      </c>
      <c r="B96" s="74" t="s">
        <v>722</v>
      </c>
      <c r="C96" s="116">
        <v>7.99</v>
      </c>
      <c r="D96" s="96" t="s">
        <v>85</v>
      </c>
      <c r="E96" s="76" t="s">
        <v>85</v>
      </c>
      <c r="F96" s="77"/>
      <c r="G96" s="73" t="s">
        <v>721</v>
      </c>
      <c r="H96" s="74" t="s">
        <v>722</v>
      </c>
      <c r="I96" s="117">
        <f ca="1">IFERROR(__xludf.DUMMYFUNCTION("IF(D96=E96,C96,GOOGLEFINANCE(CONCATENATE(D96,E96))*C96)"),7.99)</f>
        <v>7.99</v>
      </c>
      <c r="J96" s="79" t="s">
        <v>85</v>
      </c>
      <c r="K96" s="118">
        <f ca="1">IFERROR(__xludf.DUMMYFUNCTION("VALUE(IF(D96=""USD"",C96,IF(D96=""EUR"",C96/GOOGLEFINANCE(CONCATENATE(L96,N96)),IF(D96=E96,C96/GOOGLEFINANCE(CONCATENATE(L96,J96))))))"),7.861271676)</f>
        <v>7.8612716760000003</v>
      </c>
      <c r="L96" s="119" t="s">
        <v>86</v>
      </c>
      <c r="M96" s="118">
        <f ca="1">IFERROR(__xludf.DUMMYFUNCTION("VALUE(IF(D96=""EUR"",C96,IF(D96=""USD"",GOOGLEFINANCE(CONCATENATE(L96,N96))*C96,IF(D96=E96,C96/GOOGLEFINANCE(CONCATENATE(N96,J96))))))"),7.99)</f>
        <v>7.99</v>
      </c>
      <c r="N96" s="119" t="s">
        <v>85</v>
      </c>
    </row>
    <row r="97" spans="1:14" ht="13" x14ac:dyDescent="0.15">
      <c r="A97" s="73" t="s">
        <v>75</v>
      </c>
      <c r="B97" s="74" t="s">
        <v>170</v>
      </c>
      <c r="C97" s="116">
        <v>119</v>
      </c>
      <c r="D97" s="96" t="s">
        <v>171</v>
      </c>
      <c r="E97" s="76" t="s">
        <v>171</v>
      </c>
      <c r="F97" s="77"/>
      <c r="G97" s="73" t="s">
        <v>75</v>
      </c>
      <c r="H97" s="74" t="s">
        <v>170</v>
      </c>
      <c r="I97" s="117">
        <f ca="1">IFERROR(__xludf.DUMMYFUNCTION("IF(D97=E97,C97,GOOGLEFINANCE(CONCATENATE(D97,E97))*C97)"),119)</f>
        <v>119</v>
      </c>
      <c r="J97" s="79" t="s">
        <v>171</v>
      </c>
      <c r="K97" s="118">
        <f ca="1">IFERROR(__xludf.DUMMYFUNCTION("VALUE(IF(D97=""USD"",C97,IF(D97=""EUR"",C97/GOOGLEFINANCE(CONCATENATE(L97,N97)),IF(D97=E97,C97/GOOGLEFINANCE(CONCATENATE(L97,J97))))))"),6.525500174)</f>
        <v>6.5255001740000003</v>
      </c>
      <c r="L97" s="119" t="s">
        <v>86</v>
      </c>
      <c r="M97" s="118">
        <f ca="1">IFERROR(__xludf.DUMMYFUNCTION("VALUE(IF(D97=""EUR"",C97,IF(D97=""USD"",GOOGLEFINANCE(CONCATENATE(L97,N97))*C97,IF(D97=E97,C97/GOOGLEFINANCE(CONCATENATE(N97,J97))))))"),6.632434388)</f>
        <v>6.6324343880000001</v>
      </c>
      <c r="N97" s="119" t="s">
        <v>85</v>
      </c>
    </row>
    <row r="98" spans="1:14" ht="13" x14ac:dyDescent="0.15">
      <c r="A98" s="73" t="s">
        <v>60</v>
      </c>
      <c r="B98" s="74" t="s">
        <v>172</v>
      </c>
      <c r="C98" s="116">
        <v>9900</v>
      </c>
      <c r="D98" s="96" t="s">
        <v>173</v>
      </c>
      <c r="E98" s="76" t="s">
        <v>173</v>
      </c>
      <c r="F98" s="77"/>
      <c r="G98" s="73" t="s">
        <v>60</v>
      </c>
      <c r="H98" s="74" t="s">
        <v>172</v>
      </c>
      <c r="I98" s="117">
        <f ca="1">IFERROR(__xludf.DUMMYFUNCTION("IF(D98=E98,C98,GOOGLEFINANCE(CONCATENATE(D98,E98))*C98)"),9900)</f>
        <v>9900</v>
      </c>
      <c r="J98" s="79" t="s">
        <v>173</v>
      </c>
      <c r="K98" s="118">
        <f ca="1">IFERROR(__xludf.DUMMYFUNCTION("VALUE(IF(D98=""USD"",C98,IF(D98=""EUR"",C98/GOOGLEFINANCE(CONCATENATE(L98,N98)),IF(D98=E98,C98/GOOGLEFINANCE(CONCATENATE(L98,J98))))))"),6.861063465)</f>
        <v>6.861063465</v>
      </c>
      <c r="L98" s="119" t="s">
        <v>86</v>
      </c>
      <c r="M98" s="118">
        <f ca="1">IFERROR(__xludf.DUMMYFUNCTION("VALUE(IF(D98=""EUR"",C98,IF(D98=""USD"",GOOGLEFINANCE(CONCATENATE(L98,N98))*C98,IF(D98=E98,C98/GOOGLEFINANCE(CONCATENATE(N98,J98))))))"),6.972567525)</f>
        <v>6.9725675249999997</v>
      </c>
      <c r="N98" s="119" t="s">
        <v>85</v>
      </c>
    </row>
    <row r="99" spans="1:14" ht="13" x14ac:dyDescent="0.15">
      <c r="A99" s="73" t="s">
        <v>33</v>
      </c>
      <c r="B99" s="74" t="s">
        <v>174</v>
      </c>
      <c r="C99" s="116">
        <v>8.99</v>
      </c>
      <c r="D99" s="96" t="s">
        <v>85</v>
      </c>
      <c r="E99" s="76" t="s">
        <v>85</v>
      </c>
      <c r="F99" s="77"/>
      <c r="G99" s="73" t="s">
        <v>33</v>
      </c>
      <c r="H99" s="74" t="s">
        <v>174</v>
      </c>
      <c r="I99" s="117">
        <f ca="1">IFERROR(__xludf.DUMMYFUNCTION("IF(D99=E99,C99,GOOGLEFINANCE(CONCATENATE(D99,E99))*C99)"),8.99)</f>
        <v>8.99</v>
      </c>
      <c r="J99" s="79" t="s">
        <v>85</v>
      </c>
      <c r="K99" s="118">
        <f ca="1">IFERROR(__xludf.DUMMYFUNCTION("VALUE(IF(D99=""USD"",C99,IF(D99=""EUR"",C99/GOOGLEFINANCE(CONCATENATE(L99,N99)),IF(D99=E99,C99/GOOGLEFINANCE(CONCATENATE(L99,J99))))))"),8.845160497)</f>
        <v>8.8451604970000002</v>
      </c>
      <c r="L99" s="119" t="s">
        <v>86</v>
      </c>
      <c r="M99" s="118">
        <f ca="1">IFERROR(__xludf.DUMMYFUNCTION("VALUE(IF(D99=""EUR"",C99,IF(D99=""USD"",GOOGLEFINANCE(CONCATENATE(L99,N99))*C99,IF(D99=E99,C99/GOOGLEFINANCE(CONCATENATE(N99,J99))))))"),8.99)</f>
        <v>8.99</v>
      </c>
      <c r="N99" s="119" t="s">
        <v>85</v>
      </c>
    </row>
    <row r="100" spans="1:14" ht="13" x14ac:dyDescent="0.15">
      <c r="A100" s="86" t="s">
        <v>652</v>
      </c>
      <c r="B100" s="87" t="s">
        <v>364</v>
      </c>
      <c r="C100" s="120"/>
      <c r="D100" s="89"/>
      <c r="E100" s="89"/>
      <c r="F100" s="77"/>
      <c r="G100" s="86" t="s">
        <v>652</v>
      </c>
      <c r="H100" s="87" t="s">
        <v>364</v>
      </c>
      <c r="I100" s="113" t="str">
        <f ca="1">IFERROR(__xludf.DUMMYFUNCTION("IF(D100=E100,C100,GOOGLEFINANCE(CONCATENATE(D100,E100))*C100)"),"")</f>
        <v/>
      </c>
      <c r="J100" s="89"/>
      <c r="K100" s="114"/>
      <c r="L100" s="115"/>
      <c r="M100" s="114"/>
      <c r="N100" s="115"/>
    </row>
    <row r="101" spans="1:14" ht="13" x14ac:dyDescent="0.15">
      <c r="A101" s="73" t="s">
        <v>36</v>
      </c>
      <c r="B101" s="74" t="s">
        <v>175</v>
      </c>
      <c r="C101" s="116">
        <v>89</v>
      </c>
      <c r="D101" s="96" t="s">
        <v>176</v>
      </c>
      <c r="E101" s="76" t="s">
        <v>176</v>
      </c>
      <c r="F101" s="77"/>
      <c r="G101" s="73" t="s">
        <v>36</v>
      </c>
      <c r="H101" s="74" t="s">
        <v>175</v>
      </c>
      <c r="I101" s="117">
        <f ca="1">IFERROR(__xludf.DUMMYFUNCTION("IF(D101=E101,C101,GOOGLEFINANCE(CONCATENATE(D101,E101))*C101)"),89)</f>
        <v>89</v>
      </c>
      <c r="J101" s="79" t="s">
        <v>176</v>
      </c>
      <c r="K101" s="118">
        <f ca="1">IFERROR(__xludf.DUMMYFUNCTION("VALUE(IF(D101=""USD"",C101,IF(D101=""EUR"",C101/GOOGLEFINANCE(CONCATENATE(L101,N101)),IF(D101=E101,C101/GOOGLEFINANCE(CONCATENATE(L101,J101))))))"),7.912398195)</f>
        <v>7.9123981949999997</v>
      </c>
      <c r="L101" s="119" t="s">
        <v>86</v>
      </c>
      <c r="M101" s="118">
        <f ca="1">IFERROR(__xludf.DUMMYFUNCTION("VALUE(IF(D101=""EUR"",C101,IF(D101=""USD"",GOOGLEFINANCE(CONCATENATE(L101,N101))*C101,IF(D101=E101,C101/GOOGLEFINANCE(CONCATENATE(N101,J101))))))"),8.041810184)</f>
        <v>8.0418101839999991</v>
      </c>
      <c r="N101" s="119" t="s">
        <v>85</v>
      </c>
    </row>
    <row r="102" spans="1:14" ht="13" x14ac:dyDescent="0.15">
      <c r="A102" s="73" t="s">
        <v>25</v>
      </c>
      <c r="B102" s="74" t="s">
        <v>177</v>
      </c>
      <c r="C102" s="116">
        <v>12.9</v>
      </c>
      <c r="D102" s="96" t="s">
        <v>178</v>
      </c>
      <c r="E102" s="76" t="s">
        <v>178</v>
      </c>
      <c r="F102" s="77"/>
      <c r="G102" s="73" t="s">
        <v>25</v>
      </c>
      <c r="H102" s="74" t="s">
        <v>177</v>
      </c>
      <c r="I102" s="117">
        <f ca="1">IFERROR(__xludf.DUMMYFUNCTION("IF(D102=E102,C102,GOOGLEFINANCE(CONCATENATE(D102,E102))*C102)"),12.9)</f>
        <v>12.9</v>
      </c>
      <c r="J102" s="79" t="s">
        <v>178</v>
      </c>
      <c r="K102" s="118">
        <f ca="1">IFERROR(__xludf.DUMMYFUNCTION("VALUE(IF(D102=""USD"",C102,IF(D102=""EUR"",C102/GOOGLEFINANCE(CONCATENATE(L102,N102)),IF(D102=E102,C102/GOOGLEFINANCE(CONCATENATE(L102,J102))))))"),12.90981146)</f>
        <v>12.90981146</v>
      </c>
      <c r="L102" s="119" t="s">
        <v>86</v>
      </c>
      <c r="M102" s="118">
        <f ca="1">IFERROR(__xludf.DUMMYFUNCTION("VALUE(IF(D102=""EUR"",C102,IF(D102=""USD"",GOOGLEFINANCE(CONCATENATE(L102,N102))*C102,IF(D102=E102,C102/GOOGLEFINANCE(CONCATENATE(N102,J102))))))"),13.11455411)</f>
        <v>13.11455411</v>
      </c>
      <c r="N102" s="119" t="s">
        <v>85</v>
      </c>
    </row>
    <row r="103" spans="1:14" ht="13" x14ac:dyDescent="0.15">
      <c r="A103" s="73" t="s">
        <v>735</v>
      </c>
      <c r="B103" s="74" t="s">
        <v>736</v>
      </c>
      <c r="C103" s="116">
        <v>270</v>
      </c>
      <c r="D103" s="96" t="s">
        <v>470</v>
      </c>
      <c r="E103" s="76" t="s">
        <v>470</v>
      </c>
      <c r="F103" s="77"/>
      <c r="G103" s="73" t="s">
        <v>735</v>
      </c>
      <c r="H103" s="74" t="s">
        <v>736</v>
      </c>
      <c r="I103" s="117">
        <f ca="1">IFERROR(__xludf.DUMMYFUNCTION("IF(D103=E103,C103,GOOGLEFINANCE(CONCATENATE(D103,E103))*C103)"),270)</f>
        <v>270</v>
      </c>
      <c r="J103" s="79" t="s">
        <v>470</v>
      </c>
      <c r="K103" s="118">
        <f ca="1">IFERROR(__xludf.DUMMYFUNCTION("VALUE(IF(D103=""USD"",C103,IF(D103=""EUR"",C103/GOOGLEFINANCE(CONCATENATE(L103,N103)),IF(D103=E103,C103/GOOGLEFINANCE(CONCATENATE(L103,J103))))))"),8.369549718)</f>
        <v>8.369549718</v>
      </c>
      <c r="L103" s="119" t="s">
        <v>86</v>
      </c>
      <c r="M103" s="118">
        <f ca="1">IFERROR(__xludf.DUMMYFUNCTION("VALUE(IF(D103=""EUR"",C103,IF(D103=""USD"",GOOGLEFINANCE(CONCATENATE(L103,N103))*C103,IF(D103=E103,C103/GOOGLEFINANCE(CONCATENATE(N103,J103))))))"),8.508262153)</f>
        <v>8.5082621530000004</v>
      </c>
      <c r="N103" s="119" t="s">
        <v>85</v>
      </c>
    </row>
    <row r="104" spans="1:14" ht="13" x14ac:dyDescent="0.15">
      <c r="A104" s="86" t="s">
        <v>728</v>
      </c>
      <c r="B104" s="87" t="s">
        <v>729</v>
      </c>
      <c r="C104" s="120"/>
      <c r="D104" s="89"/>
      <c r="E104" s="89"/>
      <c r="F104" s="77"/>
      <c r="G104" s="86" t="s">
        <v>728</v>
      </c>
      <c r="H104" s="87" t="s">
        <v>729</v>
      </c>
      <c r="I104" s="113" t="str">
        <f ca="1">IFERROR(__xludf.DUMMYFUNCTION("IF(D104=E104,C104,GOOGLEFINANCE(CONCATENATE(D104,E104))*C104)"),"")</f>
        <v/>
      </c>
      <c r="J104" s="89"/>
      <c r="K104" s="114"/>
      <c r="L104" s="115"/>
      <c r="M104" s="114"/>
      <c r="N104" s="115"/>
    </row>
    <row r="105" spans="1:14" ht="13" x14ac:dyDescent="0.15">
      <c r="A105" s="86" t="s">
        <v>740</v>
      </c>
      <c r="B105" s="87" t="s">
        <v>472</v>
      </c>
      <c r="C105" s="120"/>
      <c r="D105" s="89"/>
      <c r="E105" s="89"/>
      <c r="F105" s="77"/>
      <c r="G105" s="86" t="s">
        <v>740</v>
      </c>
      <c r="H105" s="87" t="s">
        <v>472</v>
      </c>
      <c r="I105" s="113" t="str">
        <f ca="1">IFERROR(__xludf.DUMMYFUNCTION("IF(D105=E105,C105,GOOGLEFINANCE(CONCATENATE(D105,E105))*C105)"),"")</f>
        <v/>
      </c>
      <c r="J105" s="89"/>
      <c r="K105" s="114"/>
      <c r="L105" s="115"/>
      <c r="M105" s="114"/>
      <c r="N105" s="115"/>
    </row>
    <row r="106" spans="1:14" ht="13" x14ac:dyDescent="0.15">
      <c r="A106" s="73" t="s">
        <v>78</v>
      </c>
      <c r="B106" s="74" t="s">
        <v>179</v>
      </c>
      <c r="C106" s="116">
        <v>49</v>
      </c>
      <c r="D106" s="96" t="s">
        <v>180</v>
      </c>
      <c r="E106" s="76" t="s">
        <v>180</v>
      </c>
      <c r="F106" s="77"/>
      <c r="G106" s="73" t="s">
        <v>78</v>
      </c>
      <c r="H106" s="74" t="s">
        <v>179</v>
      </c>
      <c r="I106" s="117">
        <f ca="1">IFERROR(__xludf.DUMMYFUNCTION("IF(D106=E106,C106,GOOGLEFINANCE(CONCATENATE(D106,E106))*C106)"),49)</f>
        <v>49</v>
      </c>
      <c r="J106" s="79" t="s">
        <v>180</v>
      </c>
      <c r="K106" s="118">
        <f ca="1">IFERROR(__xludf.DUMMYFUNCTION("VALUE(IF(D106=""USD"",C106,IF(D106=""EUR"",C106/GOOGLEFINANCE(CONCATENATE(L106,N106)),IF(D106=E106,C106/GOOGLEFINANCE(CONCATENATE(L106,J106))))))"),1.285836121)</f>
        <v>1.285836121</v>
      </c>
      <c r="L106" s="119" t="s">
        <v>86</v>
      </c>
      <c r="M106" s="118">
        <f ca="1">IFERROR(__xludf.DUMMYFUNCTION("VALUE(IF(D106=""EUR"",C106,IF(D106=""USD"",GOOGLEFINANCE(CONCATENATE(L106,N106))*C106,IF(D106=E106,C106/GOOGLEFINANCE(CONCATENATE(N106,J106))))))"),1.30682371)</f>
        <v>1.30682371</v>
      </c>
      <c r="N106" s="119" t="s">
        <v>85</v>
      </c>
    </row>
    <row r="107" spans="1:14" ht="13" x14ac:dyDescent="0.15">
      <c r="A107" s="73" t="s">
        <v>730</v>
      </c>
      <c r="B107" s="74" t="s">
        <v>731</v>
      </c>
      <c r="C107" s="116">
        <v>3.49</v>
      </c>
      <c r="D107" s="96" t="s">
        <v>465</v>
      </c>
      <c r="E107" s="76" t="s">
        <v>465</v>
      </c>
      <c r="F107" s="77"/>
      <c r="G107" s="73" t="s">
        <v>730</v>
      </c>
      <c r="H107" s="74" t="s">
        <v>731</v>
      </c>
      <c r="I107" s="117">
        <f ca="1">IFERROR(__xludf.DUMMYFUNCTION("IF(D107=E107,C107,GOOGLEFINANCE(CONCATENATE(D107,E107))*C107)"),3.49)</f>
        <v>3.49</v>
      </c>
      <c r="J107" s="79" t="s">
        <v>465</v>
      </c>
      <c r="K107" s="118">
        <f ca="1">IFERROR(__xludf.DUMMYFUNCTION("VALUE(IF(D107=""USD"",C107,IF(D107=""EUR"",C107/GOOGLEFINANCE(CONCATENATE(L107,N107)),IF(D107=E107,C107/GOOGLEFINANCE(CONCATENATE(L107,J107))))))"),1.076164046)</f>
        <v>1.0761640459999999</v>
      </c>
      <c r="L107" s="119" t="s">
        <v>86</v>
      </c>
      <c r="M107" s="118">
        <f ca="1">IFERROR(__xludf.DUMMYFUNCTION("VALUE(IF(D107=""EUR"",C107,IF(D107=""USD"",GOOGLEFINANCE(CONCATENATE(L107,N107))*C107,IF(D107=E107,C107/GOOGLEFINANCE(CONCATENATE(N107,J107))))))"),1.093729339)</f>
        <v>1.093729339</v>
      </c>
      <c r="N107" s="119" t="s">
        <v>85</v>
      </c>
    </row>
    <row r="108" spans="1:14" ht="13" x14ac:dyDescent="0.15">
      <c r="A108" s="73" t="s">
        <v>84</v>
      </c>
      <c r="B108" s="74" t="s">
        <v>181</v>
      </c>
      <c r="C108" s="116">
        <v>34.99</v>
      </c>
      <c r="D108" s="96" t="s">
        <v>182</v>
      </c>
      <c r="E108" s="76" t="s">
        <v>182</v>
      </c>
      <c r="F108" s="77"/>
      <c r="G108" s="73" t="s">
        <v>84</v>
      </c>
      <c r="H108" s="74" t="s">
        <v>181</v>
      </c>
      <c r="I108" s="117">
        <f ca="1">IFERROR(__xludf.DUMMYFUNCTION("IF(D108=E108,C108,GOOGLEFINANCE(CONCATENATE(D108,E108))*C108)"),34.99)</f>
        <v>34.99</v>
      </c>
      <c r="J108" s="79" t="s">
        <v>182</v>
      </c>
      <c r="K108" s="118">
        <f ca="1">IFERROR(__xludf.DUMMYFUNCTION("VALUE(IF(D108=""USD"",C108,IF(D108=""EUR"",C108/GOOGLEFINANCE(CONCATENATE(L108,N108)),IF(D108=E108,C108/GOOGLEFINANCE(CONCATENATE(L108,J108))))))"),1.880601427)</f>
        <v>1.880601427</v>
      </c>
      <c r="L108" s="119" t="s">
        <v>86</v>
      </c>
      <c r="M108" s="118">
        <f ca="1">IFERROR(__xludf.DUMMYFUNCTION("VALUE(IF(D108=""EUR"",C108,IF(D108=""USD"",GOOGLEFINANCE(CONCATENATE(L108,N108))*C108,IF(D108=E108,C108/GOOGLEFINANCE(CONCATENATE(N108,J108))))))"),1.911409789)</f>
        <v>1.9114097889999999</v>
      </c>
      <c r="N108" s="119" t="s">
        <v>85</v>
      </c>
    </row>
    <row r="109" spans="1:14" ht="13" x14ac:dyDescent="0.15">
      <c r="A109" s="86" t="s">
        <v>744</v>
      </c>
      <c r="B109" s="87" t="s">
        <v>477</v>
      </c>
      <c r="C109" s="120"/>
      <c r="D109" s="89"/>
      <c r="E109" s="89"/>
      <c r="F109" s="77"/>
      <c r="G109" s="86" t="s">
        <v>744</v>
      </c>
      <c r="H109" s="87" t="s">
        <v>477</v>
      </c>
      <c r="I109" s="113" t="str">
        <f ca="1">IFERROR(__xludf.DUMMYFUNCTION("IF(D109=E109,C109,GOOGLEFINANCE(CONCATENATE(D109,E109))*C109)"),"")</f>
        <v/>
      </c>
      <c r="J109" s="89"/>
      <c r="K109" s="114"/>
      <c r="L109" s="115"/>
      <c r="M109" s="114"/>
      <c r="N109" s="115"/>
    </row>
    <row r="110" spans="1:14" ht="13" x14ac:dyDescent="0.15">
      <c r="A110" s="86" t="s">
        <v>62</v>
      </c>
      <c r="B110" s="87" t="s">
        <v>185</v>
      </c>
      <c r="C110" s="120"/>
      <c r="D110" s="89"/>
      <c r="E110" s="89"/>
      <c r="F110" s="77"/>
      <c r="G110" s="86" t="s">
        <v>62</v>
      </c>
      <c r="H110" s="87" t="s">
        <v>185</v>
      </c>
      <c r="I110" s="113" t="str">
        <f ca="1">IFERROR(__xludf.DUMMYFUNCTION("IF(D110=E110,C110,GOOGLEFINANCE(CONCATENATE(D110,E110))*C110)"),"")</f>
        <v/>
      </c>
      <c r="J110" s="89"/>
      <c r="K110" s="114"/>
      <c r="L110" s="115"/>
      <c r="M110" s="114"/>
      <c r="N110" s="115"/>
    </row>
    <row r="111" spans="1:14" ht="13" x14ac:dyDescent="0.15">
      <c r="A111" s="73" t="s">
        <v>69</v>
      </c>
      <c r="B111" s="74" t="s">
        <v>516</v>
      </c>
      <c r="C111" s="116">
        <v>29.99</v>
      </c>
      <c r="D111" s="96" t="s">
        <v>184</v>
      </c>
      <c r="E111" s="76" t="s">
        <v>184</v>
      </c>
      <c r="F111" s="77"/>
      <c r="G111" s="73" t="s">
        <v>69</v>
      </c>
      <c r="H111" s="74" t="s">
        <v>516</v>
      </c>
      <c r="I111" s="117">
        <f ca="1">IFERROR(__xludf.DUMMYFUNCTION("IF(D111=E111,C111,GOOGLEFINANCE(CONCATENATE(D111,E111))*C111)"),29.99)</f>
        <v>29.99</v>
      </c>
      <c r="J111" s="79" t="s">
        <v>184</v>
      </c>
      <c r="K111" s="118">
        <f ca="1">IFERROR(__xludf.DUMMYFUNCTION("VALUE(IF(D111=""USD"",C111,IF(D111=""EUR"",C111/GOOGLEFINANCE(CONCATENATE(L111,N111)),IF(D111=E111,C111/GOOGLEFINANCE(CONCATENATE(L111,J111))))))"),8.165009978)</f>
        <v>8.1650099780000005</v>
      </c>
      <c r="L111" s="119" t="s">
        <v>86</v>
      </c>
      <c r="M111" s="118">
        <f ca="1">IFERROR(__xludf.DUMMYFUNCTION("VALUE(IF(D111=""EUR"",C111,IF(D111=""USD"",GOOGLEFINANCE(CONCATENATE(L111,N111))*C111,IF(D111=E111,C111/GOOGLEFINANCE(CONCATENATE(N111,J111))))))"),8.298280362)</f>
        <v>8.2982803619999999</v>
      </c>
      <c r="N111" s="119" t="s">
        <v>85</v>
      </c>
    </row>
    <row r="112" spans="1:14" ht="13" x14ac:dyDescent="0.15">
      <c r="A112" s="73" t="s">
        <v>27</v>
      </c>
      <c r="B112" s="74" t="s">
        <v>187</v>
      </c>
      <c r="C112" s="116">
        <v>7.99</v>
      </c>
      <c r="D112" s="96" t="s">
        <v>188</v>
      </c>
      <c r="E112" s="76" t="s">
        <v>188</v>
      </c>
      <c r="F112" s="77"/>
      <c r="G112" s="73" t="s">
        <v>27</v>
      </c>
      <c r="H112" s="74" t="s">
        <v>187</v>
      </c>
      <c r="I112" s="117">
        <f ca="1">IFERROR(__xludf.DUMMYFUNCTION("IF(D112=E112,C112,GOOGLEFINANCE(CONCATENATE(D112,E112))*C112)"),7.99)</f>
        <v>7.99</v>
      </c>
      <c r="J112" s="79" t="s">
        <v>188</v>
      </c>
      <c r="K112" s="118">
        <f ca="1">IFERROR(__xludf.DUMMYFUNCTION("VALUE(IF(D112=""USD"",C112,IF(D112=""EUR"",C112/GOOGLEFINANCE(CONCATENATE(L112,N112)),IF(D112=E112,C112/GOOGLEFINANCE(CONCATENATE(L112,J112))))))"),9.049466263)</f>
        <v>9.0494662629999993</v>
      </c>
      <c r="L112" s="119" t="s">
        <v>86</v>
      </c>
      <c r="M112" s="118">
        <f ca="1">IFERROR(__xludf.DUMMYFUNCTION("VALUE(IF(D112=""EUR"",C112,IF(D112=""USD"",GOOGLEFINANCE(CONCATENATE(L112,N112))*C112,IF(D112=E112,C112/GOOGLEFINANCE(CONCATENATE(N112,J112))))))"),9.195375842)</f>
        <v>9.1953758420000007</v>
      </c>
      <c r="N112" s="119" t="s">
        <v>85</v>
      </c>
    </row>
    <row r="113" spans="1:14" ht="13" x14ac:dyDescent="0.15">
      <c r="A113" s="73" t="s">
        <v>26</v>
      </c>
      <c r="B113" s="74" t="s">
        <v>189</v>
      </c>
      <c r="C113" s="116">
        <v>7.99</v>
      </c>
      <c r="D113" s="96" t="s">
        <v>86</v>
      </c>
      <c r="E113" s="76" t="s">
        <v>86</v>
      </c>
      <c r="F113" s="77"/>
      <c r="G113" s="73" t="s">
        <v>26</v>
      </c>
      <c r="H113" s="74" t="s">
        <v>189</v>
      </c>
      <c r="I113" s="117">
        <f ca="1">IFERROR(__xludf.DUMMYFUNCTION("IF(D113=E113,C113,GOOGLEFINANCE(CONCATENATE(D113,E113))*C113)"),7.99)</f>
        <v>7.99</v>
      </c>
      <c r="J113" s="79" t="s">
        <v>86</v>
      </c>
      <c r="K113" s="118">
        <f ca="1">IFERROR(__xludf.DUMMYFUNCTION("VALUE(IF(D113=""USD"",C113,IF(D113=""EUR"",C113/GOOGLEFINANCE(CONCATENATE(L113,N113)),IF(D113=E113,C113/GOOGLEFINANCE(CONCATENATE(L113,J113))))))"),7.99)</f>
        <v>7.99</v>
      </c>
      <c r="L113" s="119" t="s">
        <v>86</v>
      </c>
      <c r="M113" s="118">
        <f ca="1">IFERROR(__xludf.DUMMYFUNCTION("VALUE(IF(D113=""EUR"",C113,IF(D113=""USD"",GOOGLEFINANCE(CONCATENATE(L113,N113))*C113,IF(D113=E113,C113/GOOGLEFINANCE(CONCATENATE(N113,J113))))))"),8.12083625)</f>
        <v>8.12083625</v>
      </c>
      <c r="N113" s="119" t="s">
        <v>85</v>
      </c>
    </row>
    <row r="114" spans="1:14" ht="13" x14ac:dyDescent="0.15">
      <c r="A114" s="73" t="s">
        <v>747</v>
      </c>
      <c r="B114" s="74" t="s">
        <v>748</v>
      </c>
      <c r="C114" s="116">
        <v>7.49</v>
      </c>
      <c r="D114" s="96" t="s">
        <v>86</v>
      </c>
      <c r="E114" s="76" t="s">
        <v>485</v>
      </c>
      <c r="F114" s="77"/>
      <c r="G114" s="73" t="s">
        <v>747</v>
      </c>
      <c r="H114" s="74" t="s">
        <v>748</v>
      </c>
      <c r="I114" s="117">
        <f ca="1">IFERROR(__xludf.DUMMYFUNCTION("IF(D114=E114,C114,GOOGLEFINANCE(CONCATENATE(D114,E114))*C114)"),305.9542913)</f>
        <v>305.95429130000002</v>
      </c>
      <c r="J114" s="85" t="s">
        <v>485</v>
      </c>
      <c r="K114" s="118">
        <f ca="1">IFERROR(__xludf.DUMMYFUNCTION("VALUE(IF(D114=""USD"",C114,IF(D114=""EUR"",C114/GOOGLEFINANCE(CONCATENATE(L114,N114)),IF(D114=E114,C114/GOOGLEFINANCE(CONCATENATE(L114,J114))))))"),7.49)</f>
        <v>7.49</v>
      </c>
      <c r="L114" s="119" t="s">
        <v>86</v>
      </c>
      <c r="M114" s="118">
        <f ca="1">IFERROR(__xludf.DUMMYFUNCTION("VALUE(IF(D114=""EUR"",C114,IF(D114=""USD"",GOOGLEFINANCE(CONCATENATE(L114,N114))*C114,IF(D114=E114,C114/GOOGLEFINANCE(CONCATENATE(N114,J114))))))"),7.61264875)</f>
        <v>7.61264875</v>
      </c>
      <c r="N114" s="119" t="s">
        <v>85</v>
      </c>
    </row>
    <row r="115" spans="1:14" ht="13" x14ac:dyDescent="0.15">
      <c r="A115" s="86" t="s">
        <v>749</v>
      </c>
      <c r="B115" s="87" t="s">
        <v>487</v>
      </c>
      <c r="C115" s="120"/>
      <c r="D115" s="89"/>
      <c r="E115" s="89"/>
      <c r="F115" s="77"/>
      <c r="G115" s="86" t="s">
        <v>749</v>
      </c>
      <c r="H115" s="87" t="s">
        <v>487</v>
      </c>
      <c r="I115" s="113" t="str">
        <f ca="1">IFERROR(__xludf.DUMMYFUNCTION("IF(D115=E115,C115,GOOGLEFINANCE(CONCATENATE(D115,E115))*C115)"),"")</f>
        <v/>
      </c>
      <c r="J115" s="89"/>
      <c r="K115" s="114"/>
      <c r="L115" s="115"/>
      <c r="M115" s="114"/>
      <c r="N115" s="115"/>
    </row>
    <row r="116" spans="1:14" ht="13" x14ac:dyDescent="0.15">
      <c r="A116" s="73" t="s">
        <v>750</v>
      </c>
      <c r="B116" s="74" t="s">
        <v>751</v>
      </c>
      <c r="C116" s="116">
        <v>5.99</v>
      </c>
      <c r="D116" s="96" t="s">
        <v>86</v>
      </c>
      <c r="E116" s="96" t="s">
        <v>491</v>
      </c>
      <c r="F116" s="77"/>
      <c r="G116" s="73" t="s">
        <v>750</v>
      </c>
      <c r="H116" s="74" t="s">
        <v>751</v>
      </c>
      <c r="I116" s="117">
        <f ca="1">IFERROR(__xludf.DUMMYFUNCTION("IF(D116=E116,C116,GOOGLEFINANCE(CONCATENATE(D116,E116))*C116)"),50.29803)</f>
        <v>50.298029999999997</v>
      </c>
      <c r="J116" s="97" t="s">
        <v>491</v>
      </c>
      <c r="K116" s="118">
        <f ca="1">IFERROR(__xludf.DUMMYFUNCTION("VALUE(IF(D116=""USD"",C116,IF(D116=""EUR"",C116/GOOGLEFINANCE(CONCATENATE(L116,N116)),IF(D116=E116,C116/GOOGLEFINANCE(CONCATENATE(L116,J116))))))"),5.99)</f>
        <v>5.99</v>
      </c>
      <c r="L116" s="119" t="s">
        <v>86</v>
      </c>
      <c r="M116" s="118">
        <f ca="1">IFERROR(__xludf.DUMMYFUNCTION("VALUE(IF(D116=""EUR"",C116,IF(D116=""USD"",GOOGLEFINANCE(CONCATENATE(L116,N116))*C116,IF(D116=E116,C116/GOOGLEFINANCE(CONCATENATE(N116,J116))))))"),6.08808625)</f>
        <v>6.0880862499999999</v>
      </c>
      <c r="N116" s="119" t="s">
        <v>85</v>
      </c>
    </row>
    <row r="117" spans="1:14" ht="13" x14ac:dyDescent="0.15">
      <c r="A117" s="86" t="s">
        <v>79</v>
      </c>
      <c r="B117" s="87" t="s">
        <v>190</v>
      </c>
      <c r="C117" s="121"/>
      <c r="D117" s="89"/>
      <c r="E117" s="89"/>
      <c r="F117" s="77"/>
      <c r="G117" s="86" t="s">
        <v>79</v>
      </c>
      <c r="H117" s="87" t="s">
        <v>190</v>
      </c>
      <c r="I117" s="113" t="str">
        <f ca="1">IFERROR(__xludf.DUMMYFUNCTION("IF(D117=E117,C117,GOOGLEFINANCE(CONCATENATE(D117,E117))*C117)"),"")</f>
        <v/>
      </c>
      <c r="J117" s="89"/>
      <c r="K117" s="114"/>
      <c r="L117" s="115"/>
      <c r="M117" s="114"/>
      <c r="N117" s="115"/>
    </row>
    <row r="118" spans="1:14" ht="13" x14ac:dyDescent="0.15">
      <c r="A118" s="86" t="s">
        <v>758</v>
      </c>
      <c r="B118" s="87" t="s">
        <v>497</v>
      </c>
      <c r="C118" s="121"/>
      <c r="D118" s="89"/>
      <c r="E118" s="89"/>
      <c r="F118" s="77"/>
      <c r="G118" s="86" t="s">
        <v>758</v>
      </c>
      <c r="H118" s="87" t="s">
        <v>497</v>
      </c>
      <c r="I118" s="113" t="str">
        <f ca="1">IFERROR(__xludf.DUMMYFUNCTION("IF(D118=E118,C118,GOOGLEFINANCE(CONCATENATE(D118,E118))*C118)"),"")</f>
        <v/>
      </c>
      <c r="J118" s="89"/>
      <c r="K118" s="114"/>
      <c r="L118" s="115"/>
      <c r="M118" s="114"/>
      <c r="N118" s="115"/>
    </row>
  </sheetData>
  <autoFilter ref="A1:N118" xr:uid="{00000000-0009-0000-0000-00000A000000}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Datasheet</vt:lpstr>
      <vt:lpstr>Infografika</vt:lpstr>
      <vt:lpstr>Country Names</vt:lpstr>
      <vt:lpstr>Kursy walut</vt:lpstr>
      <vt:lpstr>AW2022_09</vt:lpstr>
      <vt:lpstr>Netflix</vt:lpstr>
      <vt:lpstr>Copy of Netflix</vt:lpstr>
      <vt:lpstr>Netflix_test</vt:lpstr>
      <vt:lpstr>Disney+</vt:lpstr>
      <vt:lpstr>HBO Max</vt:lpstr>
      <vt:lpstr>Spotify</vt:lpstr>
      <vt:lpstr>Apple Music</vt:lpstr>
      <vt:lpstr>Amazon Prime</vt:lpstr>
      <vt:lpstr>Scribd</vt:lpstr>
      <vt:lpstr>Xbox Game Pass</vt:lpstr>
      <vt:lpstr>YouTube Premium</vt:lpstr>
      <vt:lpstr>Gym</vt:lpstr>
      <vt:lpstr>Liczba subskrypcji</vt:lpstr>
      <vt:lpstr>Języki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2022-10-24T07:57:35Z</dcterms:modified>
</cp:coreProperties>
</file>